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dnecka\Desktop\"/>
    </mc:Choice>
  </mc:AlternateContent>
  <bookViews>
    <workbookView xWindow="14505" yWindow="-15" windowWidth="5985" windowHeight="8745" activeTab="1"/>
  </bookViews>
  <sheets>
    <sheet name="-- Servis 2017 --" sheetId="10" r:id="rId1"/>
    <sheet name="-- Smlouvy prosinec 2017 --" sheetId="9" r:id="rId2"/>
    <sheet name="-- Smlouvy log --" sheetId="6" r:id="rId3"/>
    <sheet name="pracovni" sheetId="3" r:id="rId4"/>
    <sheet name="-- Servis 2016 --" sheetId="2" r:id="rId5"/>
    <sheet name="-- Infrastruktura 2016 --" sheetId="8" r:id="rId6"/>
  </sheets>
  <definedNames>
    <definedName name="_xlnm._FilterDatabase" localSheetId="1" hidden="1">'-- Smlouvy prosinec 2017 --'!$A$2:$AX$272</definedName>
  </definedNames>
  <calcPr calcId="162913"/>
</workbook>
</file>

<file path=xl/calcChain.xml><?xml version="1.0" encoding="utf-8"?>
<calcChain xmlns="http://schemas.openxmlformats.org/spreadsheetml/2006/main">
  <c r="N57" i="10" l="1"/>
  <c r="N58" i="10"/>
  <c r="N56" i="10" l="1"/>
  <c r="N55" i="10"/>
  <c r="N32" i="10" l="1"/>
  <c r="AB41" i="10" l="1"/>
  <c r="AA25" i="10"/>
  <c r="AB8" i="10"/>
  <c r="AB5" i="10"/>
  <c r="N83" i="10"/>
  <c r="N22" i="10"/>
  <c r="N21" i="10"/>
  <c r="N11" i="10"/>
  <c r="N10" i="10"/>
  <c r="N42" i="10"/>
  <c r="AA41" i="10" l="1"/>
  <c r="Z25" i="10"/>
  <c r="AA5" i="10"/>
  <c r="AA8" i="10" s="1"/>
  <c r="M83" i="10"/>
  <c r="M56" i="10"/>
  <c r="M55" i="10"/>
  <c r="M57" i="10"/>
  <c r="M58" i="10"/>
  <c r="M42" i="10" l="1"/>
  <c r="M32" i="10"/>
  <c r="M21" i="10"/>
  <c r="M10" i="10"/>
  <c r="M22" i="10" s="1"/>
  <c r="L55" i="10" l="1"/>
  <c r="L56" i="10"/>
  <c r="L57" i="10"/>
  <c r="L58" i="10"/>
  <c r="K55" i="10" l="1"/>
  <c r="K56" i="10"/>
  <c r="K58" i="10"/>
  <c r="K57" i="10"/>
  <c r="L22" i="10" l="1"/>
  <c r="L21" i="10"/>
  <c r="L10" i="10"/>
  <c r="M11" i="10" s="1"/>
  <c r="L42" i="10"/>
  <c r="L32" i="10"/>
  <c r="Z41" i="10"/>
  <c r="Y25" i="10"/>
  <c r="X25" i="10"/>
  <c r="Z5" i="10"/>
  <c r="Z8" i="10" s="1"/>
  <c r="L83" i="10"/>
  <c r="Y41" i="10" l="1"/>
  <c r="Y5" i="10"/>
  <c r="Y8" i="10" s="1"/>
  <c r="K103" i="10"/>
  <c r="K83" i="10"/>
  <c r="K48" i="10"/>
  <c r="K42" i="10"/>
  <c r="K32" i="10"/>
  <c r="K38" i="10"/>
  <c r="K21" i="10"/>
  <c r="K10" i="10"/>
  <c r="L11" i="10" s="1"/>
  <c r="K22" i="10" l="1"/>
  <c r="J56" i="10"/>
  <c r="J55" i="10"/>
  <c r="J58" i="10"/>
  <c r="J57" i="10"/>
  <c r="J42" i="10" l="1"/>
  <c r="J32" i="10"/>
  <c r="J21" i="10"/>
  <c r="J10" i="10"/>
  <c r="X41" i="10"/>
  <c r="W25" i="10"/>
  <c r="X5" i="10"/>
  <c r="X8" i="10" s="1"/>
  <c r="J83" i="10"/>
  <c r="J103" i="10"/>
  <c r="J22" i="10" l="1"/>
  <c r="K11" i="10"/>
  <c r="I58" i="10"/>
  <c r="I57" i="10"/>
  <c r="I55" i="10"/>
  <c r="I56" i="10"/>
  <c r="I42" i="10" l="1"/>
  <c r="I32" i="10"/>
  <c r="I10" i="10"/>
  <c r="I21" i="10"/>
  <c r="W41" i="10"/>
  <c r="V25" i="10"/>
  <c r="W5" i="10"/>
  <c r="W8" i="10" s="1"/>
  <c r="I103" i="10"/>
  <c r="I83" i="10"/>
  <c r="I22" i="10" l="1"/>
  <c r="J11" i="10"/>
  <c r="H56" i="10"/>
  <c r="H55" i="10"/>
  <c r="H58" i="10"/>
  <c r="H57" i="10"/>
  <c r="G55" i="10"/>
  <c r="G57" i="10"/>
  <c r="H83" i="10" l="1"/>
  <c r="H42" i="10"/>
  <c r="H32" i="10"/>
  <c r="H21" i="10"/>
  <c r="H10" i="10"/>
  <c r="I11" i="10" s="1"/>
  <c r="U25" i="10"/>
  <c r="V41" i="10"/>
  <c r="V5" i="10"/>
  <c r="V8" i="10" s="1"/>
  <c r="H103" i="10"/>
  <c r="H22" i="10" l="1"/>
  <c r="G56" i="10"/>
  <c r="G58" i="10"/>
  <c r="G42" i="10" l="1"/>
  <c r="G32" i="10"/>
  <c r="G21" i="10"/>
  <c r="G10" i="10"/>
  <c r="H11" i="10" s="1"/>
  <c r="G22" i="10" l="1"/>
  <c r="U41" i="10"/>
  <c r="T25" i="10"/>
  <c r="U5" i="10"/>
  <c r="U8" i="10" s="1"/>
  <c r="G103" i="10"/>
  <c r="G83" i="10"/>
  <c r="F56" i="10" l="1"/>
  <c r="F58" i="10"/>
  <c r="F57" i="10"/>
  <c r="F55" i="10"/>
  <c r="E55" i="10"/>
  <c r="E57" i="10"/>
  <c r="F10" i="10" l="1"/>
  <c r="G11" i="10" s="1"/>
  <c r="F21" i="10"/>
  <c r="F32" i="10"/>
  <c r="F42" i="10"/>
  <c r="T41" i="10"/>
  <c r="S25" i="10"/>
  <c r="T5" i="10"/>
  <c r="T8" i="10" s="1"/>
  <c r="F103" i="10"/>
  <c r="F83" i="10"/>
  <c r="F22" i="10" l="1"/>
  <c r="E58" i="10" l="1"/>
  <c r="E56" i="10"/>
  <c r="E42" i="10" l="1"/>
  <c r="E32" i="10"/>
  <c r="E21" i="10"/>
  <c r="E10" i="10"/>
  <c r="F11" i="10" s="1"/>
  <c r="S41" i="10"/>
  <c r="R25" i="10"/>
  <c r="S5" i="10"/>
  <c r="S8" i="10" s="1"/>
  <c r="E103" i="10"/>
  <c r="E83" i="10"/>
  <c r="E22" i="10" l="1"/>
  <c r="D58" i="10"/>
  <c r="C58" i="10"/>
  <c r="D56" i="10"/>
  <c r="C56" i="10"/>
  <c r="D42" i="10" l="1"/>
  <c r="D32" i="10"/>
  <c r="D21" i="10"/>
  <c r="D10" i="10"/>
  <c r="E11" i="10" s="1"/>
  <c r="D55" i="10"/>
  <c r="D57" i="10"/>
  <c r="D22" i="10" l="1"/>
  <c r="D83" i="10"/>
  <c r="R41" i="10"/>
  <c r="Q25" i="10"/>
  <c r="R8" i="10" l="1"/>
  <c r="D103" i="10"/>
  <c r="C42" i="10" l="1"/>
  <c r="C32" i="10"/>
  <c r="C21" i="10"/>
  <c r="C10" i="10"/>
  <c r="D11" i="10" s="1"/>
  <c r="C22" i="10" l="1"/>
  <c r="C57" i="10"/>
  <c r="C55" i="10" l="1"/>
  <c r="C103" i="10" l="1"/>
  <c r="C95" i="10"/>
  <c r="C94" i="10"/>
  <c r="Q41" i="10"/>
  <c r="Q5" i="10"/>
  <c r="Q8" i="10" s="1"/>
  <c r="AB25" i="2"/>
  <c r="C83" i="10"/>
  <c r="N25" i="8" l="1"/>
  <c r="N21" i="8"/>
  <c r="N14" i="8"/>
  <c r="N7" i="8"/>
  <c r="N62" i="2" l="1"/>
  <c r="N61" i="2"/>
  <c r="N60" i="2"/>
  <c r="N59" i="2"/>
  <c r="M46" i="2" l="1"/>
  <c r="N46" i="2"/>
  <c r="M35" i="2"/>
  <c r="N35" i="2"/>
  <c r="N23" i="2"/>
  <c r="N11" i="2"/>
  <c r="AA8" i="2"/>
  <c r="AB8" i="2"/>
  <c r="AA25" i="2"/>
  <c r="AB41" i="2"/>
  <c r="N87" i="2"/>
  <c r="N24" i="2" l="1"/>
  <c r="Z25" i="2"/>
  <c r="M62" i="2"/>
  <c r="M61" i="2"/>
  <c r="M60" i="2"/>
  <c r="M59" i="2"/>
  <c r="M23" i="2"/>
  <c r="M11" i="2"/>
  <c r="N12" i="2" s="1"/>
  <c r="M24" i="2" l="1"/>
  <c r="Y25" i="2"/>
  <c r="Z41" i="2"/>
  <c r="Z8" i="2"/>
  <c r="L105" i="2"/>
  <c r="L46" i="2"/>
  <c r="L35" i="2"/>
  <c r="L23" i="2"/>
  <c r="L11" i="2"/>
  <c r="M12" i="2" s="1"/>
  <c r="L24" i="2" l="1"/>
  <c r="L62" i="2"/>
  <c r="L61" i="2"/>
  <c r="L60" i="2"/>
  <c r="L59" i="2"/>
  <c r="L25" i="8" l="1"/>
  <c r="L21" i="8"/>
  <c r="L7" i="8"/>
  <c r="L14" i="8"/>
  <c r="K17" i="8" l="1"/>
  <c r="K10" i="8"/>
  <c r="K6" i="8"/>
  <c r="K7" i="8" s="1"/>
  <c r="K13" i="8"/>
  <c r="K14" i="8" s="1"/>
  <c r="K20" i="8"/>
  <c r="K21" i="8" s="1"/>
  <c r="K24" i="8"/>
  <c r="K25" i="8" s="1"/>
  <c r="J24" i="8"/>
  <c r="I24" i="8"/>
  <c r="I25" i="8" s="1"/>
  <c r="J20" i="8"/>
  <c r="I20" i="8"/>
  <c r="J17" i="8"/>
  <c r="I17" i="8"/>
  <c r="J13" i="8"/>
  <c r="I13" i="8"/>
  <c r="I14" i="8" s="1"/>
  <c r="J10" i="8"/>
  <c r="I10" i="8"/>
  <c r="J6" i="8"/>
  <c r="I21" i="8"/>
  <c r="I7" i="8"/>
  <c r="K87" i="2" l="1"/>
  <c r="J87" i="2"/>
  <c r="K46" i="2" l="1"/>
  <c r="K35" i="2"/>
  <c r="K23" i="2"/>
  <c r="K11" i="2"/>
  <c r="L12" i="2" s="1"/>
  <c r="Y8" i="2"/>
  <c r="K24" i="2" l="1"/>
  <c r="K62" i="2"/>
  <c r="K61" i="2"/>
  <c r="K60" i="2"/>
  <c r="K59" i="2"/>
  <c r="Y41" i="2" l="1"/>
  <c r="X25" i="2"/>
  <c r="J23" i="2" l="1"/>
  <c r="J35" i="2"/>
  <c r="J46" i="2"/>
  <c r="J11" i="2" l="1"/>
  <c r="X41" i="2"/>
  <c r="W25" i="2"/>
  <c r="W8" i="2"/>
  <c r="X5" i="2"/>
  <c r="X8" i="2" s="1"/>
  <c r="J62" i="2"/>
  <c r="J60" i="2"/>
  <c r="J61" i="2"/>
  <c r="J59" i="2"/>
  <c r="J24" i="2" l="1"/>
  <c r="K12" i="2"/>
  <c r="J12" i="2"/>
  <c r="I54" i="2"/>
  <c r="I23" i="2"/>
  <c r="J25" i="8" l="1"/>
  <c r="J21" i="8"/>
  <c r="J14" i="8"/>
  <c r="J7" i="8"/>
  <c r="W41" i="2" l="1"/>
  <c r="V25" i="2"/>
  <c r="I87" i="2"/>
  <c r="I46" i="2"/>
  <c r="I35" i="2"/>
  <c r="I24" i="2"/>
  <c r="V41" i="2" l="1"/>
  <c r="V5" i="2"/>
  <c r="V8" i="2" s="1"/>
  <c r="H62" i="2" l="1"/>
  <c r="H61" i="2"/>
  <c r="H59" i="2"/>
  <c r="H60" i="2"/>
  <c r="H46" i="2" l="1"/>
  <c r="H35" i="2"/>
  <c r="H23" i="2"/>
  <c r="H11" i="2"/>
  <c r="I12" i="2" s="1"/>
  <c r="H24" i="2" l="1"/>
  <c r="H98" i="2"/>
  <c r="H97" i="2"/>
  <c r="H87" i="2"/>
  <c r="U45" i="2" l="1"/>
  <c r="U41" i="2"/>
  <c r="U25" i="2"/>
  <c r="T25" i="2"/>
  <c r="G62" i="2"/>
  <c r="G60" i="2"/>
  <c r="G61" i="2"/>
  <c r="G59" i="2"/>
  <c r="G46" i="2"/>
  <c r="G35" i="2"/>
  <c r="G23" i="2"/>
  <c r="G11" i="2"/>
  <c r="H12" i="2" s="1"/>
  <c r="G24" i="2" l="1"/>
  <c r="G98" i="2"/>
  <c r="G97" i="2"/>
  <c r="G87" i="2"/>
  <c r="U5" i="2"/>
  <c r="U8" i="2" s="1"/>
  <c r="F62" i="2" l="1"/>
  <c r="F61" i="2"/>
  <c r="F59" i="2"/>
  <c r="F60" i="2"/>
  <c r="T45" i="2" l="1"/>
  <c r="T41" i="2"/>
  <c r="T5" i="2"/>
  <c r="F87" i="2"/>
  <c r="F98" i="2"/>
  <c r="F97" i="2"/>
  <c r="T8" i="2" l="1"/>
  <c r="C9" i="2" l="1"/>
  <c r="D9" i="2"/>
  <c r="E9" i="2"/>
  <c r="F9" i="2"/>
  <c r="F11" i="2" s="1"/>
  <c r="G12" i="2" s="1"/>
  <c r="C44" i="2"/>
  <c r="D44" i="2"/>
  <c r="E44" i="2"/>
  <c r="C33" i="2"/>
  <c r="D33" i="2"/>
  <c r="E33" i="2"/>
  <c r="E35" i="2" s="1"/>
  <c r="F46" i="2"/>
  <c r="F35" i="2"/>
  <c r="F23" i="2"/>
  <c r="F24" i="2" l="1"/>
  <c r="S45" i="2"/>
  <c r="S25" i="2"/>
  <c r="E97" i="2"/>
  <c r="E98" i="2"/>
  <c r="Q5" i="2" l="1"/>
  <c r="Q8" i="2" s="1"/>
  <c r="R5" i="2"/>
  <c r="R8" i="2" s="1"/>
  <c r="R41" i="2" l="1"/>
  <c r="S41" i="2"/>
  <c r="E87" i="2"/>
  <c r="E46" i="2"/>
  <c r="E23" i="2"/>
  <c r="E11" i="2"/>
  <c r="F12" i="2" s="1"/>
  <c r="E24" i="2" l="1"/>
  <c r="S5" i="2"/>
  <c r="S8" i="2" s="1"/>
  <c r="R45" i="2" l="1"/>
  <c r="Q45" i="2"/>
  <c r="D98" i="2"/>
  <c r="D97" i="2"/>
  <c r="R25" i="2" l="1"/>
  <c r="D46" i="2" l="1"/>
  <c r="D35" i="2"/>
  <c r="D87" i="2"/>
  <c r="E105" i="2"/>
  <c r="F105" i="2"/>
  <c r="G105" i="2"/>
  <c r="H105" i="2"/>
  <c r="I105" i="2"/>
  <c r="J105" i="2"/>
  <c r="K105" i="2"/>
  <c r="D105" i="2"/>
  <c r="C105" i="2"/>
  <c r="D23" i="2"/>
  <c r="D11" i="2"/>
  <c r="E12" i="2" s="1"/>
  <c r="D24" i="2" l="1"/>
  <c r="C60" i="2"/>
  <c r="C59" i="2"/>
  <c r="C98" i="2" l="1"/>
  <c r="C97" i="2"/>
  <c r="C87" i="2"/>
  <c r="Q25" i="2"/>
  <c r="Q41" i="2" l="1"/>
  <c r="C11" i="2" l="1"/>
  <c r="C23" i="2"/>
  <c r="C35" i="2"/>
  <c r="C42" i="2"/>
  <c r="C41" i="2"/>
  <c r="C40" i="2"/>
  <c r="C39" i="2"/>
  <c r="C12" i="2" l="1"/>
  <c r="D12" i="2"/>
  <c r="C46" i="2"/>
  <c r="C24" i="2"/>
</calcChain>
</file>

<file path=xl/sharedStrings.xml><?xml version="1.0" encoding="utf-8"?>
<sst xmlns="http://schemas.openxmlformats.org/spreadsheetml/2006/main" count="7666" uniqueCount="2011">
  <si>
    <t>název projektu</t>
  </si>
  <si>
    <t>vedoucí</t>
  </si>
  <si>
    <t>obchodník</t>
  </si>
  <si>
    <t>top</t>
  </si>
  <si>
    <t>produkt</t>
  </si>
  <si>
    <t>stav</t>
  </si>
  <si>
    <t>Počítat bonus</t>
  </si>
  <si>
    <t>fakturace [Kč]</t>
  </si>
  <si>
    <t>kredit hodin [h]</t>
  </si>
  <si>
    <t>splatky Kč</t>
  </si>
  <si>
    <t>legisl.upd. Kč</t>
  </si>
  <si>
    <t>v ceně (rep, školení a pod) [h]</t>
  </si>
  <si>
    <t>rezie [h]</t>
  </si>
  <si>
    <t>ext. Platby Kč</t>
  </si>
  <si>
    <t>data [GB]</t>
  </si>
  <si>
    <t>data [Kč/GB]</t>
  </si>
  <si>
    <t>zalohy [GB]</t>
  </si>
  <si>
    <t>zalohy [Kč/GB]</t>
  </si>
  <si>
    <t>traff [GB]</t>
  </si>
  <si>
    <t>traff [Kč/GB]</t>
  </si>
  <si>
    <t>hotline [Kč]</t>
  </si>
  <si>
    <t>podpora [Kč]</t>
  </si>
  <si>
    <t>dostup [Kč]</t>
  </si>
  <si>
    <t>varianta</t>
  </si>
  <si>
    <t>SLA [Kč]</t>
  </si>
  <si>
    <t>bonus koeficient</t>
  </si>
  <si>
    <t>bonus</t>
  </si>
  <si>
    <t>2Theta - WEB - servisní smlouva</t>
  </si>
  <si>
    <t>2009/757</t>
  </si>
  <si>
    <t>Entlová</t>
  </si>
  <si>
    <t>Woff</t>
  </si>
  <si>
    <t>marwel</t>
  </si>
  <si>
    <t>otevřený</t>
  </si>
  <si>
    <t>AGADOS - WEB - servisní smlouva - VIP</t>
  </si>
  <si>
    <t>2009/619</t>
  </si>
  <si>
    <t>Chmelo</t>
  </si>
  <si>
    <t>a</t>
  </si>
  <si>
    <t>ano</t>
  </si>
  <si>
    <t>Lipusová</t>
  </si>
  <si>
    <t>zakázkový vývoj</t>
  </si>
  <si>
    <t>Kadavý</t>
  </si>
  <si>
    <t>0.5</t>
  </si>
  <si>
    <t>Allo Tender - EZAK - servisní smlouva</t>
  </si>
  <si>
    <t>2013/583</t>
  </si>
  <si>
    <t>Vydrová</t>
  </si>
  <si>
    <t>Horký</t>
  </si>
  <si>
    <t>ezak</t>
  </si>
  <si>
    <t>premium</t>
  </si>
  <si>
    <t>AMB AUTO - EZAK (ex.OL) - servisní smlouva</t>
  </si>
  <si>
    <t>2014/21</t>
  </si>
  <si>
    <t>AMSP - WEB - servisní smlouva</t>
  </si>
  <si>
    <t>2009/763</t>
  </si>
  <si>
    <t>Knotek</t>
  </si>
  <si>
    <t>Aukce dřeva - servisní smlouva</t>
  </si>
  <si>
    <t>2013/699</t>
  </si>
  <si>
    <t>Pilát</t>
  </si>
  <si>
    <t>Kukačka</t>
  </si>
  <si>
    <t>Bauhaus - Kutil roku</t>
  </si>
  <si>
    <t>2012/496</t>
  </si>
  <si>
    <t>správa obsahu</t>
  </si>
  <si>
    <t>Bechyně - EZAK - servisní smlouva</t>
  </si>
  <si>
    <t>2013/90</t>
  </si>
  <si>
    <t>Benešov - EZAK - servisní smlouva</t>
  </si>
  <si>
    <t>2011/712</t>
  </si>
  <si>
    <t>Beroun (Proact) - EZAK - servisní smlouva</t>
  </si>
  <si>
    <t>2015/298</t>
  </si>
  <si>
    <t>Kohoutek</t>
  </si>
  <si>
    <t>BEVE - WEB - servisní smlouva</t>
  </si>
  <si>
    <t>2013/608</t>
  </si>
  <si>
    <t>Bezdružice - EZAK (ex.OL) - servisní smlouva</t>
  </si>
  <si>
    <t>2014/58</t>
  </si>
  <si>
    <t>technická správa</t>
  </si>
  <si>
    <t>2015/309</t>
  </si>
  <si>
    <t>Brno střed - EZAK - servisní smlouva</t>
  </si>
  <si>
    <t>2012/358</t>
  </si>
  <si>
    <t>Brno střed - WEB - servisní smlouva</t>
  </si>
  <si>
    <t>2009/433</t>
  </si>
  <si>
    <t>BVK - EZAK - servisní smlouva</t>
  </si>
  <si>
    <t>2013/499</t>
  </si>
  <si>
    <t>CCR - JMK Sklepní uličky - servisní smlouva</t>
  </si>
  <si>
    <t>2013/209</t>
  </si>
  <si>
    <t>Cejiza - EZAK - servisní smlouva - VIP</t>
  </si>
  <si>
    <t>2015/78</t>
  </si>
  <si>
    <t>Cejiza - WEB - servisní smlouva - VIP</t>
  </si>
  <si>
    <t>2009/561</t>
  </si>
  <si>
    <t>CEP RRA - EZAK - servisní smlouva</t>
  </si>
  <si>
    <t>2012/318</t>
  </si>
  <si>
    <t>Slezák</t>
  </si>
  <si>
    <t>2012/822</t>
  </si>
  <si>
    <t>Český Krumlov - EZAK - servisní smlouva</t>
  </si>
  <si>
    <t>2015/265</t>
  </si>
  <si>
    <t>Český Rozhlas - EZAK - servisní smlouva</t>
  </si>
  <si>
    <t>2012/380</t>
  </si>
  <si>
    <t>CESNET - EZAK - servisní smlouva</t>
  </si>
  <si>
    <t>2011/372</t>
  </si>
  <si>
    <t>Cheb - EZAK - servisní smlouva</t>
  </si>
  <si>
    <t>2012/816</t>
  </si>
  <si>
    <t>Chotěboř - EZAK - servisní smlouva</t>
  </si>
  <si>
    <t>2012/178</t>
  </si>
  <si>
    <t>Chrudim - EZAK - servisní smlouva</t>
  </si>
  <si>
    <t>2012/627</t>
  </si>
  <si>
    <t>CIRI - WEB i EZAK - servisní smlouva</t>
  </si>
  <si>
    <t>2012/637</t>
  </si>
  <si>
    <t>ČIŽP - WEB - servisní smlouva</t>
  </si>
  <si>
    <t>2010/1026</t>
  </si>
  <si>
    <t>CKTCH - EZAK -servisní smlouva - VIP</t>
  </si>
  <si>
    <t>2011/756</t>
  </si>
  <si>
    <t>ČMZRB - WEB - servisní smlouva</t>
  </si>
  <si>
    <t>2008/98/1</t>
  </si>
  <si>
    <t>b</t>
  </si>
  <si>
    <t>ČNB - EZAK - servisní smlouva</t>
  </si>
  <si>
    <t>2012/480</t>
  </si>
  <si>
    <t>CNPK - EZAK - servisní smlouva 2016</t>
  </si>
  <si>
    <t>2016/26</t>
  </si>
  <si>
    <t>Consulting Plus Management - WEB - servisní smlouva</t>
  </si>
  <si>
    <t>2007/29/2</t>
  </si>
  <si>
    <t>Consulting Plus - TECH</t>
  </si>
  <si>
    <t>2009/685</t>
  </si>
  <si>
    <t>ČSÚ - EZAK - servisní práce</t>
  </si>
  <si>
    <t>2011/606</t>
  </si>
  <si>
    <t>C SYSTEM CZ - WEB - servisní smlouva</t>
  </si>
  <si>
    <t>2013/271</t>
  </si>
  <si>
    <t>Cultura in forma Bohemia - WEB - servisní smlouva</t>
  </si>
  <si>
    <t>2010/232</t>
  </si>
  <si>
    <t>CUNI - E-ZAK - Servisní smlouva</t>
  </si>
  <si>
    <t>2016/31</t>
  </si>
  <si>
    <t>Oczko</t>
  </si>
  <si>
    <t>Cyrrus CF - WEB - servisní smlouva</t>
  </si>
  <si>
    <t>2011/159</t>
  </si>
  <si>
    <t>Cyrrus - WEB - servisní smlouva - VIP</t>
  </si>
  <si>
    <t>2007/25/1</t>
  </si>
  <si>
    <t>ČZU - EZAK - servisní smlouva</t>
  </si>
  <si>
    <t>2010/294</t>
  </si>
  <si>
    <t>Dačice - EZAK - servisní smlouva</t>
  </si>
  <si>
    <t>2011/522</t>
  </si>
  <si>
    <t>Děčín - EZAK - servisní smlouva</t>
  </si>
  <si>
    <t>2012/250</t>
  </si>
  <si>
    <t>DIČR - WEB - servisní smlouva VIP</t>
  </si>
  <si>
    <t>2007/70/1</t>
  </si>
  <si>
    <t>Čekan</t>
  </si>
  <si>
    <t>0.1</t>
  </si>
  <si>
    <t>Dismas - WEB - servisní smlouva</t>
  </si>
  <si>
    <t>2014/250</t>
  </si>
  <si>
    <t>DLC - EZAK - servisní smlouva</t>
  </si>
  <si>
    <t>2014/189</t>
  </si>
  <si>
    <t>Domažlice - EZAK - servisní smlouva</t>
  </si>
  <si>
    <t>2013/579</t>
  </si>
  <si>
    <t>Dominik centrum (ex.OL) - servisní smlouva</t>
  </si>
  <si>
    <t>2014/139</t>
  </si>
  <si>
    <t>Dopravný úrad - WEB - servisní smlouva</t>
  </si>
  <si>
    <t>2014/190</t>
  </si>
  <si>
    <t>DPS v Lázních Kynžvart - EZAK (ex.OL) - servisní smlouva</t>
  </si>
  <si>
    <t>2013/681</t>
  </si>
  <si>
    <t>2011/135</t>
  </si>
  <si>
    <t>DZS - databaze krajane WEB - nadpráce</t>
  </si>
  <si>
    <t>2012/146</t>
  </si>
  <si>
    <t>DZS - WEB - servisní smlouva</t>
  </si>
  <si>
    <t>2011/646</t>
  </si>
  <si>
    <t>EC Consulting - EZAK (ex.OL) - servisní smlouva</t>
  </si>
  <si>
    <t>2013/682</t>
  </si>
  <si>
    <t>Ekovín - servisní smlouva - správa webové prezentace</t>
  </si>
  <si>
    <t>2015/292</t>
  </si>
  <si>
    <t>ELKO - WEB - servisní smlouva</t>
  </si>
  <si>
    <t>2009/341</t>
  </si>
  <si>
    <t>ENVI Agentura Trunda - EZAK - servisní smlouva</t>
  </si>
  <si>
    <t>2014/36</t>
  </si>
  <si>
    <t>ERU - EZAK - servisní smlouva</t>
  </si>
  <si>
    <t>2013/30</t>
  </si>
  <si>
    <t>Eurovision - EZAK - servisní smlouva</t>
  </si>
  <si>
    <t>2012/488</t>
  </si>
  <si>
    <t>FIN servis - EZAK - servisní smlouva</t>
  </si>
  <si>
    <t>2013/92</t>
  </si>
  <si>
    <t>FNB - EZAK - servisní smlouva - VIP</t>
  </si>
  <si>
    <t>2011/568</t>
  </si>
  <si>
    <t>FNUSA - EZAK - servisní smlouva</t>
  </si>
  <si>
    <t>2011/196</t>
  </si>
  <si>
    <t>FSC Elektro - TECH - Servisní smlouva</t>
  </si>
  <si>
    <t>2009/287</t>
  </si>
  <si>
    <t>Galeos - WEB - servisní smlouva</t>
  </si>
  <si>
    <t>2010/1028</t>
  </si>
  <si>
    <t>Dobčák</t>
  </si>
  <si>
    <t>GEMMA Systems - WEB - servisní smlouva</t>
  </si>
  <si>
    <t>2010/740</t>
  </si>
  <si>
    <t>2013/653</t>
  </si>
  <si>
    <t>Grantika - EZAK - servisní smlouva</t>
  </si>
  <si>
    <t>2012/416</t>
  </si>
  <si>
    <t>Green Marketing - WEB - servisní smlouva</t>
  </si>
  <si>
    <t>2008/97/1</t>
  </si>
  <si>
    <t>GRVS - EZAK - servisní smlouva</t>
  </si>
  <si>
    <t>2011/99</t>
  </si>
  <si>
    <t>Plášil</t>
  </si>
  <si>
    <t>GUBI - WEB - servisní smlouva</t>
  </si>
  <si>
    <t>2010/52</t>
  </si>
  <si>
    <t>Habartov - EZAK (ex.OL) - servisní smlouva</t>
  </si>
  <si>
    <t>2013/729</t>
  </si>
  <si>
    <t>Havlíčkův Brod - EZAK - servisní smlouva</t>
  </si>
  <si>
    <t>2013/223</t>
  </si>
  <si>
    <t>Hazlov - EZAK (ex.OL) - servisní smlouva</t>
  </si>
  <si>
    <t>2013/740</t>
  </si>
  <si>
    <t>Hradec Králové (MMHK) - WEB - servisní smlouva - VIP</t>
  </si>
  <si>
    <t>2009/785</t>
  </si>
  <si>
    <t>HUBER - nadpráce</t>
  </si>
  <si>
    <t>2011/452</t>
  </si>
  <si>
    <t>ISPO - servisní smlouva</t>
  </si>
  <si>
    <t>2011/254</t>
  </si>
  <si>
    <t>JAMU - EZAK - servisní smlouva</t>
  </si>
  <si>
    <t>2011/744</t>
  </si>
  <si>
    <t>JMK - EZAK - servisní smlouva</t>
  </si>
  <si>
    <t>2012/118</t>
  </si>
  <si>
    <t>JVAK - WEB - servisní smlouva</t>
  </si>
  <si>
    <t>2014/37</t>
  </si>
  <si>
    <t>Karlovarský kraj - EZAK - servisní smlouva</t>
  </si>
  <si>
    <t>2014/297</t>
  </si>
  <si>
    <t>Kolín - EZAK - servisní smlouva</t>
  </si>
  <si>
    <t>2015/208</t>
  </si>
  <si>
    <t>Krajská zdravotní - EZAK - servisní smlouva</t>
  </si>
  <si>
    <t>2013/34</t>
  </si>
  <si>
    <t>Krajský úřad Středočeského kraje - EZAK - servisní smlouva</t>
  </si>
  <si>
    <t>2015/304</t>
  </si>
  <si>
    <t>Kraj Vysočina - EZAK - servisní smlouva</t>
  </si>
  <si>
    <t>2013/743</t>
  </si>
  <si>
    <t>Křenovice - WEB - servisní smlouva</t>
  </si>
  <si>
    <t>2012/186</t>
  </si>
  <si>
    <t>Krnov - EZAK - servisní smlouva</t>
  </si>
  <si>
    <t>2013/724</t>
  </si>
  <si>
    <t>Kroměříž - EZAK - servisní smlouva</t>
  </si>
  <si>
    <t>2013/211</t>
  </si>
  <si>
    <t>KSÚS Karl.kraje - EZAK (ex.OL) - servisní smlouva</t>
  </si>
  <si>
    <t>2013/742</t>
  </si>
  <si>
    <t>Kutná Hora - WEB - Servisní smlouva</t>
  </si>
  <si>
    <t>2015/407</t>
  </si>
  <si>
    <t>Labyrint Brno - WEB - servisní smlouva</t>
  </si>
  <si>
    <t>2007/129</t>
  </si>
  <si>
    <t>Rýcová</t>
  </si>
  <si>
    <t>Lesy ČR - EZAK - servisní smlouva</t>
  </si>
  <si>
    <t>2015/57</t>
  </si>
  <si>
    <t>Liberec - EZAK - servisní smlouva</t>
  </si>
  <si>
    <t>2010/722</t>
  </si>
  <si>
    <t>Litvínov - EZAK - servisní smlouva</t>
  </si>
  <si>
    <t>2013/739</t>
  </si>
  <si>
    <t>Lovosice - EZAK - servisní smlouva</t>
  </si>
  <si>
    <t>2015/150</t>
  </si>
  <si>
    <t>M2 - Relio servisní smlouva</t>
  </si>
  <si>
    <t>2007/52/2</t>
  </si>
  <si>
    <t>Marandis - EZAK - servisní smlouva</t>
  </si>
  <si>
    <t>2012/102</t>
  </si>
  <si>
    <t>Mariánské Lázně - EZAK - servisní smlouva</t>
  </si>
  <si>
    <t>2013/201</t>
  </si>
  <si>
    <t>2012/699</t>
  </si>
  <si>
    <t>MČ Kohoutovice - Marwel servisní smlouva</t>
  </si>
  <si>
    <t>2007/59/2</t>
  </si>
  <si>
    <t>MENDELU - EZAK - servisní smlouva</t>
  </si>
  <si>
    <t>2012/623</t>
  </si>
  <si>
    <t>Město Boskovice - EZAK - servisní smlouva</t>
  </si>
  <si>
    <t>2015/269</t>
  </si>
  <si>
    <t>Město Chomutov - E-ZAK - Servisní smlouva</t>
  </si>
  <si>
    <t>2016/34</t>
  </si>
  <si>
    <t>Město Horní Bříza - E-ZAK (ex.OL) - servisní smlouva</t>
  </si>
  <si>
    <t>2013/676</t>
  </si>
  <si>
    <t>Město Krásné Údolí - EZAK (ex.OL) - servisní smlouva</t>
  </si>
  <si>
    <t>2013/673</t>
  </si>
  <si>
    <t>2016/32</t>
  </si>
  <si>
    <t>Město Turnov - E-ZAK - servisní smlouva</t>
  </si>
  <si>
    <t>2016/38</t>
  </si>
  <si>
    <t>MEZ Nedvědice - TECH - servisní smlouva</t>
  </si>
  <si>
    <t>2007/85/2</t>
  </si>
  <si>
    <t>Mikulov - EZAK - servisní smlouva</t>
  </si>
  <si>
    <t>2012/370</t>
  </si>
  <si>
    <t>Milevsko - EZAK - servisní smlouva</t>
  </si>
  <si>
    <t>2013/582</t>
  </si>
  <si>
    <t>Milíkov - EZAK (ex.OL) - servisní smlouva</t>
  </si>
  <si>
    <t>2013/708</t>
  </si>
  <si>
    <t>Labounek</t>
  </si>
  <si>
    <t>Modletice - WEB - servisní smlouva</t>
  </si>
  <si>
    <t>2012/486</t>
  </si>
  <si>
    <t>MOU - EZAK - servisní smlouva</t>
  </si>
  <si>
    <t>2011/1</t>
  </si>
  <si>
    <t>MPO - podpora, provoz a rozvoj intranetu - servisní smlouva</t>
  </si>
  <si>
    <t>2015/307</t>
  </si>
  <si>
    <t>MPSV (RSCZ, E-ZAK, GEMIN) - servisní smlouva</t>
  </si>
  <si>
    <t>2014/291</t>
  </si>
  <si>
    <t>MŠMT - pronájem TECH</t>
  </si>
  <si>
    <t>2014/162</t>
  </si>
  <si>
    <t>MŠMT - WEB - servisní smlouva</t>
  </si>
  <si>
    <t>2007/80/2</t>
  </si>
  <si>
    <t>MT Legal - EZAK - servisní smlouva</t>
  </si>
  <si>
    <t>2012/418</t>
  </si>
  <si>
    <t>MUDK - EZAK - nadpráce</t>
  </si>
  <si>
    <t>2010/1062</t>
  </si>
  <si>
    <t>MUFIS - WEB - servisní smlouva</t>
  </si>
  <si>
    <t>2013/669</t>
  </si>
  <si>
    <t>2009/811</t>
  </si>
  <si>
    <t>MV (KIVS) - EZAK - servisní smlouva</t>
  </si>
  <si>
    <t>2014/233</t>
  </si>
  <si>
    <t>MV - OSF - nadpráce - VIP</t>
  </si>
  <si>
    <t>2010/264</t>
  </si>
  <si>
    <t>MV (RSCZ, E-ZAK, GEMIN) - servisní smlouva</t>
  </si>
  <si>
    <t>2014/285</t>
  </si>
  <si>
    <t>MV (ÚZSI) - WEB portál - servisní smlouva</t>
  </si>
  <si>
    <t>2015/316</t>
  </si>
  <si>
    <t>MV (ÚZSI) - WEB - servisní smlouva</t>
  </si>
  <si>
    <t>2014/248</t>
  </si>
  <si>
    <t>MZE - EZAK - servisní smlouva</t>
  </si>
  <si>
    <t>2014/304</t>
  </si>
  <si>
    <t>MŽP - EZAK - servisní smlouva</t>
  </si>
  <si>
    <t>NAR marketing - PVU - profil zadavatele</t>
  </si>
  <si>
    <t>2012/254</t>
  </si>
  <si>
    <t>pvu</t>
  </si>
  <si>
    <t>Naviga4 - WEB - servisní smlouva</t>
  </si>
  <si>
    <t>2010/714</t>
  </si>
  <si>
    <t>NDB - WEB - servisní smlouva - VIP</t>
  </si>
  <si>
    <t>2010/920</t>
  </si>
  <si>
    <t>Nemocnice ČB - EZAK - servisní smlouva</t>
  </si>
  <si>
    <t>2012/476</t>
  </si>
  <si>
    <t>Nemocnice Tišnov - EZAK - servisní smlouva</t>
  </si>
  <si>
    <t>2013/618</t>
  </si>
  <si>
    <t>Nemocnice Tišnov - WEB - servisní smlouva</t>
  </si>
  <si>
    <t>2010/268</t>
  </si>
  <si>
    <t>Nové Hamry - EZAK (ex.OL) - servisní smlouva</t>
  </si>
  <si>
    <t>2013/730</t>
  </si>
  <si>
    <t>Nové Město na Moravě - EZAK - servisní smlouva</t>
  </si>
  <si>
    <t>2013/725</t>
  </si>
  <si>
    <t>Nový Bor - EZAK - servisní smlouva</t>
  </si>
  <si>
    <t>2011/734</t>
  </si>
  <si>
    <t>NUV - Provoz aplikací NICM.CZ a REMIX.NICM.CZ</t>
  </si>
  <si>
    <t>2014/102</t>
  </si>
  <si>
    <t>NUV - WEB - servisní smlouva</t>
  </si>
  <si>
    <t>2008/55</t>
  </si>
  <si>
    <t>Nymburk - EZAK - servisní smlouva</t>
  </si>
  <si>
    <t>2013/491</t>
  </si>
  <si>
    <t>Obec Dolní Nivy - EZAK (ex.OL) - servisní smlouva</t>
  </si>
  <si>
    <t>2013/674</t>
  </si>
  <si>
    <t>Obec Halže - EZAK (ex.OL) - servisní smlouva</t>
  </si>
  <si>
    <t>2013/678</t>
  </si>
  <si>
    <t>Obec Hory E-ZAK (ex.OL) - servisní smlouva</t>
  </si>
  <si>
    <t>2013/679</t>
  </si>
  <si>
    <t>Obec Krásná - EZAK (ex.OL) - servisní smlouva</t>
  </si>
  <si>
    <t>2014/57</t>
  </si>
  <si>
    <t>Obec Orel - EZAK (ex.OL) - servisní smlouva</t>
  </si>
  <si>
    <t>2013/687</t>
  </si>
  <si>
    <t>Obec Stříbrná - EZAK (ex.OL) - servisní smlouva</t>
  </si>
  <si>
    <t>2013/675</t>
  </si>
  <si>
    <t>OEZ - servisní smlouva - VIP</t>
  </si>
  <si>
    <t>2009/453</t>
  </si>
  <si>
    <t>Okrouhlá - EZAK (ex.OL) - servisní smlouva</t>
  </si>
  <si>
    <t>2013/738</t>
  </si>
  <si>
    <t>Olivius - EZAK - servisní smlouva</t>
  </si>
  <si>
    <t>2012/12</t>
  </si>
  <si>
    <t>Opava - EZAK servisní smlouva</t>
  </si>
  <si>
    <t>2012/824</t>
  </si>
  <si>
    <t>Orgamet - EZAK - servisní smlouva</t>
  </si>
  <si>
    <t>2010/1112</t>
  </si>
  <si>
    <t>Oslavany - EZAK - servisní smlouva</t>
  </si>
  <si>
    <t>2013/561</t>
  </si>
  <si>
    <t>Ostrov - EZAK- servisní smlouva</t>
  </si>
  <si>
    <t>2012/320</t>
  </si>
  <si>
    <t>OSU - EZAK - servisní smlouva</t>
  </si>
  <si>
    <t>2010/1242</t>
  </si>
  <si>
    <t>Panatec - WEB - servisní smlouva</t>
  </si>
  <si>
    <t>2015/377</t>
  </si>
  <si>
    <t>Pardubický kraj - EZAK - servisní smlouva</t>
  </si>
  <si>
    <t>2012/621</t>
  </si>
  <si>
    <t>Praha 14 - EZAK - servisní smlouva</t>
  </si>
  <si>
    <t>2015/29</t>
  </si>
  <si>
    <t>Praha17 (Řepy) - WEB - servisní smlouva</t>
  </si>
  <si>
    <t>2009/431</t>
  </si>
  <si>
    <t>Praha 5 - EZAK - servisní smlouva</t>
  </si>
  <si>
    <t>2013/545</t>
  </si>
  <si>
    <t>Přelouč - EZAK - servisní smlouva</t>
  </si>
  <si>
    <t>2013/495</t>
  </si>
  <si>
    <t>Realmedia - WEB - servisní smlouva</t>
  </si>
  <si>
    <t>2010/1202</t>
  </si>
  <si>
    <t>RPA - EZAK - servisní smlouva</t>
  </si>
  <si>
    <t>2013/203</t>
  </si>
  <si>
    <t>RRMS - WEB - servisní smlouva</t>
  </si>
  <si>
    <t>2012/629</t>
  </si>
  <si>
    <t>RRRSSM - WEB - servisní smlouva 2016</t>
  </si>
  <si>
    <t>2016/30</t>
  </si>
  <si>
    <t>RRSV - WEB - servisní smlouva</t>
  </si>
  <si>
    <t>2014/144</t>
  </si>
  <si>
    <t>Rumburk - EZAK - servisní smlouva</t>
  </si>
  <si>
    <t>2012/148</t>
  </si>
  <si>
    <t>SČMBD - WEB - servisní smlouva</t>
  </si>
  <si>
    <t>SFRB - PVU - servisní smlouva</t>
  </si>
  <si>
    <t>2012/168</t>
  </si>
  <si>
    <t>Šlapanice - EZAK - servisní smlouva</t>
  </si>
  <si>
    <t>2015/266</t>
  </si>
  <si>
    <t>Slezská univerzita v Opavě (SLU) - EZAK - servisní smlouva</t>
  </si>
  <si>
    <t>2013/32</t>
  </si>
  <si>
    <t>Šluknov - EZAK - servisní smlouva</t>
  </si>
  <si>
    <t>2012/252</t>
  </si>
  <si>
    <t>SNPP - web - nadpráce</t>
  </si>
  <si>
    <t>2009/13</t>
  </si>
  <si>
    <t>SOA Sokolov - EZAK (ex.OL) - servisní smlouva</t>
  </si>
  <si>
    <t>2013/670</t>
  </si>
  <si>
    <t>Sokolov - EZAK - servisní smlouva - VIP</t>
  </si>
  <si>
    <t>2011/338</t>
  </si>
  <si>
    <t>SOM Stražiště - EZAK - servisní smlouva</t>
  </si>
  <si>
    <t>2012/388</t>
  </si>
  <si>
    <t>SPÚ - EZAK - servisní smlouva</t>
  </si>
  <si>
    <t>2014/241</t>
  </si>
  <si>
    <t>SSHR - EZAK - servisní smlouva</t>
  </si>
  <si>
    <t>2012/58</t>
  </si>
  <si>
    <t>SŠŽ Sokolov - EZAK (ex.OL) - servisní smlouva</t>
  </si>
  <si>
    <t>2014/80</t>
  </si>
  <si>
    <t>Staré Sedlo - EZAK (ex.OL) - servisní smlouva</t>
  </si>
  <si>
    <t>2014/20</t>
  </si>
  <si>
    <t>Státní zdravotní ústav - WEB - servisní smlouva</t>
  </si>
  <si>
    <t>2013/547</t>
  </si>
  <si>
    <t>STC - EZAK - servisní smlouva</t>
  </si>
  <si>
    <t>2014/181</t>
  </si>
  <si>
    <t>Stinet - TECH - nadpráce</t>
  </si>
  <si>
    <t>2007/457</t>
  </si>
  <si>
    <t>SUKL - EZAK - servisní smlouva - VIP</t>
  </si>
  <si>
    <t>2010/1078</t>
  </si>
  <si>
    <t>SUKL - WEB - Servisní smlouva 2015</t>
  </si>
  <si>
    <t>2015/414</t>
  </si>
  <si>
    <t>Nosek</t>
  </si>
  <si>
    <t>Šumperk - EZAK - servisní smlouva</t>
  </si>
  <si>
    <t>2013/649</t>
  </si>
  <si>
    <t>SUSPK - EZAK - servisní smlouva</t>
  </si>
  <si>
    <t>2012/96</t>
  </si>
  <si>
    <t>SVČR - nadpráce</t>
  </si>
  <si>
    <t>2009/153</t>
  </si>
  <si>
    <t>SVS - EZAK - servisní smlouva</t>
  </si>
  <si>
    <t>2012/378</t>
  </si>
  <si>
    <t>Syntaxit (Operátor OPENCARD a.s.) - EZAK - servisní smlouva</t>
  </si>
  <si>
    <t>2015/317</t>
  </si>
  <si>
    <t>2011/10</t>
  </si>
  <si>
    <t>SŽDC - EZAK - servisní smlouva</t>
  </si>
  <si>
    <t>2015/299</t>
  </si>
  <si>
    <t>SZRCR - nadpráce (DK) - VIP</t>
  </si>
  <si>
    <t>2010/638</t>
  </si>
  <si>
    <t>SZÚ - TECH - limesurvey.org - servisní smlouva</t>
  </si>
  <si>
    <t>2014/100</t>
  </si>
  <si>
    <t>Tachov - EZAK - servisní smlouva</t>
  </si>
  <si>
    <t>2011/640</t>
  </si>
  <si>
    <t>Tangram - Mozaika: servisní smlouva</t>
  </si>
  <si>
    <t>2009/879</t>
  </si>
  <si>
    <t>elearning</t>
  </si>
  <si>
    <t>TART - TECH - servisní smlouva</t>
  </si>
  <si>
    <t>2010/1182</t>
  </si>
  <si>
    <t>Třebíč - EZAK - servisní smlouva</t>
  </si>
  <si>
    <t>2011/302</t>
  </si>
  <si>
    <t>Třeboň - EZAK - servisní smlouva</t>
  </si>
  <si>
    <t>2012/820</t>
  </si>
  <si>
    <t>Třinec - EZAK - servisní smlouva</t>
  </si>
  <si>
    <t>2013/36</t>
  </si>
  <si>
    <t>Trnovany - EZAK (ex.OL) - servisní smlouva</t>
  </si>
  <si>
    <t>2013/711</t>
  </si>
  <si>
    <t>Trutnov - EZAK - servisní smlouva</t>
  </si>
  <si>
    <t>2012/42</t>
  </si>
  <si>
    <t>Trutnov - WEB - servisní smlouva</t>
  </si>
  <si>
    <t>2010/922</t>
  </si>
  <si>
    <t>2012/106</t>
  </si>
  <si>
    <t>Týn nad Vltavou - EZAK - servisní smlouva</t>
  </si>
  <si>
    <t>2014/264</t>
  </si>
  <si>
    <t>ÚCL - EZAK - servisní smlouva</t>
  </si>
  <si>
    <t>2013/713</t>
  </si>
  <si>
    <t>ÚCL - WEB - servisní smlouva</t>
  </si>
  <si>
    <t>2011/456</t>
  </si>
  <si>
    <t>UJEP - EZAK - servisní smlouva</t>
  </si>
  <si>
    <t>2010/1226</t>
  </si>
  <si>
    <t>UPOL - EZAK - servisní smlouva - VIP</t>
  </si>
  <si>
    <t>2010/704</t>
  </si>
  <si>
    <t>Úřad vlády - cadros - servisní smlouva - VIP</t>
  </si>
  <si>
    <t>2012/282</t>
  </si>
  <si>
    <t>Ústí nad Labem - EZAK - servisní smlouva</t>
  </si>
  <si>
    <t>2015/133</t>
  </si>
  <si>
    <t>2013/401</t>
  </si>
  <si>
    <t>ÚVČR - EZAK - servisní smlouva</t>
  </si>
  <si>
    <t>2009/335</t>
  </si>
  <si>
    <t>VAKMB - EZAK - servisní smlouva</t>
  </si>
  <si>
    <t>2012/482</t>
  </si>
  <si>
    <t>VAKPCE - EZAK - servisní smlouva</t>
  </si>
  <si>
    <t>2012/372</t>
  </si>
  <si>
    <t>Varnsdorf (Enlogit) - E-ZAK - Servisní smlouva</t>
  </si>
  <si>
    <t>2015/420</t>
  </si>
  <si>
    <t>VAS - EZAK - servisní smlouva</t>
  </si>
  <si>
    <t>2012/504</t>
  </si>
  <si>
    <t>VAS - Servisní smlouva</t>
  </si>
  <si>
    <t>2009/58</t>
  </si>
  <si>
    <t>VFU Brno - EZAK - servisní smlouva</t>
  </si>
  <si>
    <t>2013/273</t>
  </si>
  <si>
    <t>Vinoenvi - WEB - servisní smlouva</t>
  </si>
  <si>
    <t>2013/403</t>
  </si>
  <si>
    <t>Vlašim - EZAK - servisní smlouva</t>
  </si>
  <si>
    <t>2012/478</t>
  </si>
  <si>
    <t>VLS - EZAK - servisní smlouva</t>
  </si>
  <si>
    <t>2012/104</t>
  </si>
  <si>
    <t>VOP-CZ - EZAK - servisní smlouva</t>
  </si>
  <si>
    <t>2011/758</t>
  </si>
  <si>
    <t>VOSK.sk web - servisní smlouva - VIP</t>
  </si>
  <si>
    <t>2011/468</t>
  </si>
  <si>
    <t>Vrchlabí - EZAK - servisní smlouva</t>
  </si>
  <si>
    <t>2013/511</t>
  </si>
  <si>
    <t>VŠ polytechnická Jihlava - EZAK - servisní smlouva</t>
  </si>
  <si>
    <t>2013/741</t>
  </si>
  <si>
    <t>VSTAB - EZAK - servisní smlouva</t>
  </si>
  <si>
    <t>2012/316</t>
  </si>
  <si>
    <t>VUT Heatlab - WEB - servisní smlouva</t>
  </si>
  <si>
    <t>2013/703</t>
  </si>
  <si>
    <t>Ždánický les a Politaví - WEB - servisní smlouva</t>
  </si>
  <si>
    <t>2011/626</t>
  </si>
  <si>
    <t>Žďár - EZAK servisní smlouva</t>
  </si>
  <si>
    <t>2012/328</t>
  </si>
  <si>
    <t>ZŠ Kynšperk nad Ohří - EZAK (ex.OL) - servisní smlouva</t>
  </si>
  <si>
    <t>2014/30</t>
  </si>
  <si>
    <t>Zubří - EZAK - servisní smlouva</t>
  </si>
  <si>
    <t>2013/655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</si>
  <si>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</si>
  <si>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</si>
  <si>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</si>
  <si>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</si>
  <si>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</si>
  <si>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</si>
  <si>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</si>
  <si>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</si>
  <si>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</si>
  <si>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</si>
  <si>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</si>
  <si>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</si>
  <si>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Neziskové a záporné servisky</t>
  </si>
  <si>
    <t>CELKEM (ks)</t>
  </si>
  <si>
    <t>CELKEM (CZK)</t>
  </si>
  <si>
    <t>ZE VŠECH (%)</t>
  </si>
  <si>
    <t>A</t>
  </si>
  <si>
    <t>B</t>
  </si>
  <si>
    <t>C</t>
  </si>
  <si>
    <t>S</t>
  </si>
  <si>
    <t>N</t>
  </si>
  <si>
    <t>Čistý zisk po započítání nákladů nad 5000,-</t>
  </si>
  <si>
    <t>Čistý zisk po započítání nákladů do 999,-</t>
  </si>
  <si>
    <t>Čistý zisk po započítání nákladů od 1000,- do 4900,-</t>
  </si>
  <si>
    <t>Speciální podmínky (individuelní domluva, jednorázové platby realizace, strategický klient)</t>
  </si>
  <si>
    <t>Ziskovost - rozdělení</t>
  </si>
  <si>
    <t>NÁRŮST (ks)</t>
  </si>
  <si>
    <t>Aktivní (otevřené) servisky - 2016</t>
  </si>
  <si>
    <t>Kategorie ziskovosti servisek - rozložení</t>
  </si>
  <si>
    <t>v kusech</t>
  </si>
  <si>
    <t>Fakturováno (h)</t>
  </si>
  <si>
    <t>Vykázáno (h)</t>
  </si>
  <si>
    <t>Report TS: Odpracované a fakturované hodiny servisních projektů</t>
  </si>
  <si>
    <t>Balance realizačních projektů/měsíc</t>
  </si>
  <si>
    <t>Čalkovský</t>
  </si>
  <si>
    <t>Skipalová</t>
  </si>
  <si>
    <t>Kouhoutek</t>
  </si>
  <si>
    <t>Podnecká</t>
  </si>
  <si>
    <t>CELKEM</t>
  </si>
  <si>
    <t>Vydrová (729)</t>
  </si>
  <si>
    <t>Labounek (737)</t>
  </si>
  <si>
    <t>Čalkovský (711)</t>
  </si>
  <si>
    <t>Skipalová (717)</t>
  </si>
  <si>
    <t>Kouhoutek (730)</t>
  </si>
  <si>
    <t>Knotek (728)</t>
  </si>
  <si>
    <t>Slezák (738)</t>
  </si>
  <si>
    <t>Podnecká (712)</t>
  </si>
  <si>
    <t>Dobčák (731)</t>
  </si>
  <si>
    <t>PODPORA PBX - Počet hovorů vyřízených v měsící</t>
  </si>
  <si>
    <t>719 (E-ZAK)</t>
  </si>
  <si>
    <t>739 (GEMIN)</t>
  </si>
  <si>
    <t>705 (Marwel, PVU)</t>
  </si>
  <si>
    <t>Total call time (h)</t>
  </si>
  <si>
    <t>AVGD (min)</t>
  </si>
  <si>
    <r>
      <t xml:space="preserve">Vykazování </t>
    </r>
    <r>
      <rPr>
        <b/>
        <sz val="14"/>
        <color theme="0"/>
        <rFont val="Calibri"/>
        <family val="2"/>
        <charset val="238"/>
        <scheme val="minor"/>
      </rPr>
      <t>PODPORA</t>
    </r>
    <r>
      <rPr>
        <b/>
        <sz val="14"/>
        <color theme="1"/>
        <rFont val="Calibri"/>
        <family val="2"/>
        <charset val="238"/>
        <scheme val="minor"/>
      </rPr>
      <t xml:space="preserve"> - interní práce/práce pro zákazníka</t>
    </r>
  </si>
  <si>
    <t>Podpora - Počet emailů řešených v měsíci</t>
  </si>
  <si>
    <t>Odeslané Podpora</t>
  </si>
  <si>
    <t>A (zisk nad 5tis)</t>
  </si>
  <si>
    <t>C (zisk do 1tis)</t>
  </si>
  <si>
    <t>N (neziskove)</t>
  </si>
  <si>
    <r>
      <t xml:space="preserve">Fakturováno </t>
    </r>
    <r>
      <rPr>
        <sz val="10"/>
        <color theme="1"/>
        <rFont val="Calibri"/>
        <family val="2"/>
        <charset val="238"/>
        <scheme val="minor"/>
      </rPr>
      <t>(z vykázáno)</t>
    </r>
    <r>
      <rPr>
        <b/>
        <sz val="10"/>
        <color theme="1"/>
        <rFont val="Calibri"/>
        <family val="2"/>
        <charset val="238"/>
        <scheme val="minor"/>
      </rPr>
      <t xml:space="preserve"> (%)</t>
    </r>
  </si>
  <si>
    <t>PODPORA PBX - Hovory</t>
  </si>
  <si>
    <t>PODPORA PBX - Zmeškané hovory v měsíci</t>
  </si>
  <si>
    <t>B (zisk 1-5tis)</t>
  </si>
  <si>
    <t>Město Břeclav - Nadpráce web Břeclav</t>
  </si>
  <si>
    <t>2016/63</t>
  </si>
  <si>
    <t>Premium</t>
  </si>
  <si>
    <t>Město Studénka - E-ZAK - servisní smlouva</t>
  </si>
  <si>
    <t>2016/78</t>
  </si>
  <si>
    <t>MFCR - EZAK - servisní smlouva 2016</t>
  </si>
  <si>
    <t>2016/45</t>
  </si>
  <si>
    <t>2016/60</t>
  </si>
  <si>
    <t>ÚVGZ AV ČR - EZAK - servisní smlouva</t>
  </si>
  <si>
    <t>2016/52</t>
  </si>
  <si>
    <r>
      <t xml:space="preserve">Hrubý zisk servisek </t>
    </r>
    <r>
      <rPr>
        <sz val="14"/>
        <color theme="1"/>
        <rFont val="Calibri"/>
        <family val="2"/>
        <charset val="238"/>
        <scheme val="minor"/>
      </rPr>
      <t>- bez nákladů - paušál z TS</t>
    </r>
  </si>
  <si>
    <r>
      <t xml:space="preserve">Čistý zisk servisek </t>
    </r>
    <r>
      <rPr>
        <sz val="14"/>
        <color theme="1"/>
        <rFont val="Calibri"/>
        <family val="2"/>
        <charset val="238"/>
        <scheme val="minor"/>
      </rPr>
      <t>- započítané náklady - paušál z TS</t>
    </r>
  </si>
  <si>
    <t>Školnení kolik h</t>
  </si>
  <si>
    <t>Strategie</t>
  </si>
  <si>
    <t>ROK 2016 - STRATEGICKE AKTIVITY</t>
  </si>
  <si>
    <t>Jednotné vykazování</t>
  </si>
  <si>
    <t>Vylepšení TS</t>
  </si>
  <si>
    <t>Sledování dat (GB)</t>
  </si>
  <si>
    <t>Práce na Servisky - celé QCM - vykázáno/fakturováno</t>
  </si>
  <si>
    <t>Kontrola záporných SS</t>
  </si>
  <si>
    <t>257/16.59%</t>
  </si>
  <si>
    <t>583/37.64%</t>
  </si>
  <si>
    <t>709/45.77%</t>
  </si>
  <si>
    <t>194/16.75%</t>
  </si>
  <si>
    <t>473/40.85%</t>
  </si>
  <si>
    <t>491/42.40%</t>
  </si>
  <si>
    <t xml:space="preserve"> </t>
  </si>
  <si>
    <t>Čepro - EZAK - servisní smlouva</t>
  </si>
  <si>
    <t>2016/112</t>
  </si>
  <si>
    <t>HZS JMK - WEB - servisní smlouva od 1.2.2016</t>
  </si>
  <si>
    <t>2016/88</t>
  </si>
  <si>
    <t>Praha 17 - EZAK - servisní smlouva</t>
  </si>
  <si>
    <t>2016/84</t>
  </si>
  <si>
    <t>2016/83</t>
  </si>
  <si>
    <t>Statutární město Frýdek-Místek - EZAK - servisní smlouva</t>
  </si>
  <si>
    <t>2016/114</t>
  </si>
  <si>
    <t>Vodovody a kanalizace Přerov, a.s. - E-ZAK - servisní smlouva</t>
  </si>
  <si>
    <t>2016/113</t>
  </si>
  <si>
    <t>vypadek restart ustredny</t>
  </si>
  <si>
    <t>incident audio kodek</t>
  </si>
  <si>
    <t>Vykázáno na QCM</t>
  </si>
  <si>
    <t>Vykázáno na zákazníky</t>
  </si>
  <si>
    <t>Celkem vykázáno</t>
  </si>
  <si>
    <t>Na zákazníky %</t>
  </si>
  <si>
    <t>Počet klientů</t>
  </si>
  <si>
    <t>příprava</t>
  </si>
  <si>
    <t>realizace</t>
  </si>
  <si>
    <t>603/34.46%</t>
  </si>
  <si>
    <t>834/47.66 %</t>
  </si>
  <si>
    <t>313/17.89%</t>
  </si>
  <si>
    <t>PODPORA PBX - Počet odpovězených hovorů dle linky</t>
  </si>
  <si>
    <t>Česká Lípa - EZAK - servisní smlouva</t>
  </si>
  <si>
    <t>2016/151</t>
  </si>
  <si>
    <t>Český Aeroholding - EZAK - servisní smlouva</t>
  </si>
  <si>
    <t>2016/167</t>
  </si>
  <si>
    <t>Český Těšín - EZAK - servisní smlouva</t>
  </si>
  <si>
    <t>2016/135</t>
  </si>
  <si>
    <t>Doksy - EZAK - servisní smlouva</t>
  </si>
  <si>
    <t>2016/165</t>
  </si>
  <si>
    <t>Horažďovice - EZAK - servisní smlouva</t>
  </si>
  <si>
    <t>2016/150</t>
  </si>
  <si>
    <t>Karlovy Vary - EZAK - servisní smlouva</t>
  </si>
  <si>
    <t>2016/162</t>
  </si>
  <si>
    <t>Kostelec nad Orlicí - EZAK - servisní smlouva</t>
  </si>
  <si>
    <t>2016/130</t>
  </si>
  <si>
    <t>Město Karviná (Archiv Citka) - EZAK - servisní smlouva</t>
  </si>
  <si>
    <t>městská část Praha 12 - EZAK - servisní smlouva</t>
  </si>
  <si>
    <t>2016/159</t>
  </si>
  <si>
    <t>2016/154</t>
  </si>
  <si>
    <t>Nový Jičín - EZAK - servisní smlouva</t>
  </si>
  <si>
    <t>2016/160</t>
  </si>
  <si>
    <t>Osek - EZAK - servisní smlouva</t>
  </si>
  <si>
    <t>2016/138</t>
  </si>
  <si>
    <t>Praha 20 - EZAK - servisní smlouva</t>
  </si>
  <si>
    <t>2016/161</t>
  </si>
  <si>
    <t>RRRSSM FEA (WEB) - servisní smlouva</t>
  </si>
  <si>
    <t>Statutární město Karviná - EZAK - servisní smlouva</t>
  </si>
  <si>
    <t>2016/134</t>
  </si>
  <si>
    <t>Univerzita Hradec Králové - EZAK - servisní smlouva</t>
  </si>
  <si>
    <t>2016/149</t>
  </si>
  <si>
    <t>Ústí nad Orlicí (TEPVOS, spol. s.r.o.) - EZAK - servisní smlouva</t>
  </si>
  <si>
    <t>2016/137</t>
  </si>
  <si>
    <t>Západočeská univerzita v Plzni - EZAK - servisní smlouva</t>
  </si>
  <si>
    <t>2016/152</t>
  </si>
  <si>
    <t>FASTER service</t>
  </si>
  <si>
    <t>298/15.64%</t>
  </si>
  <si>
    <t>752/39.48%</t>
  </si>
  <si>
    <t>855/44.88 %</t>
  </si>
  <si>
    <t>Překračuje klientů</t>
  </si>
  <si>
    <t>Překračuje klientů - se zálohami</t>
  </si>
  <si>
    <t>jen e-zaky</t>
  </si>
  <si>
    <t>e-zaky + weby</t>
  </si>
  <si>
    <t>GB překročeno - se zálohami</t>
  </si>
  <si>
    <t>GB překročeno</t>
  </si>
  <si>
    <t>280/14.51 %</t>
  </si>
  <si>
    <t>777/40.26 %</t>
  </si>
  <si>
    <t>873/45.23 %</t>
  </si>
  <si>
    <t>Náprava komunikace zákazníků</t>
  </si>
  <si>
    <t>N - Fakturovat 314,-</t>
  </si>
  <si>
    <t>Ex. Olivius - zrušit SLA, LU, KREDIT, DATA</t>
  </si>
  <si>
    <t>B - opraveno</t>
  </si>
  <si>
    <t>S - Jen nadpráce</t>
  </si>
  <si>
    <t>N - Michalův zákazník (změna obchodníka v TS nutná)</t>
  </si>
  <si>
    <t>N - Nová v řešení</t>
  </si>
  <si>
    <t>Město ODRY (Brain) - E-ZAK - Servisní smlouva</t>
  </si>
  <si>
    <t>S - Strategický zákazník, platí se skrze GEMIN</t>
  </si>
  <si>
    <t>C - opraveno</t>
  </si>
  <si>
    <t>S - Hromadné</t>
  </si>
  <si>
    <t>N - Pracuje se na změně</t>
  </si>
  <si>
    <t>CHECK: Pepa neví o co jde</t>
  </si>
  <si>
    <t>2016/222</t>
  </si>
  <si>
    <t>E-ZAK</t>
  </si>
  <si>
    <t>Marwell</t>
  </si>
  <si>
    <t>PVU</t>
  </si>
  <si>
    <t>TECH</t>
  </si>
  <si>
    <t>Vývoj</t>
  </si>
  <si>
    <t>Servisní smlouvy dle produktru</t>
  </si>
  <si>
    <t>Ostatní</t>
  </si>
  <si>
    <t>položka</t>
  </si>
  <si>
    <t>název smlouvy</t>
  </si>
  <si>
    <t>číslo projektu</t>
  </si>
  <si>
    <t>provedeno</t>
  </si>
  <si>
    <t>akce</t>
  </si>
  <si>
    <t>poznámky</t>
  </si>
  <si>
    <t>link TS</t>
  </si>
  <si>
    <t>update</t>
  </si>
  <si>
    <t>prodloužení do 31.1.2016 objednávkou</t>
  </si>
  <si>
    <t>http://vykazy.brno.qcm.cz/index.php?m=project&amp;order=-start&amp;page=1&amp;a=status&amp;id=3200</t>
  </si>
  <si>
    <t>nová</t>
  </si>
  <si>
    <t>Servisní projekt 2016/26 nahrazuje projekt 2010/1072, který je nyní ukončen. Nové podmínky servisní podpory.</t>
  </si>
  <si>
    <t xml:space="preserve">http://vykazy.brno.qcm.cz/index.php?m=project&amp;order=name&amp;page=1&amp;a=status&amp;id=4261 </t>
  </si>
  <si>
    <t xml:space="preserve">RRRSSM - WEB - servisní smlouva 2016 </t>
  </si>
  <si>
    <t>Servisní projekt 2016/30 nahrazuje projekt 2009/155, který je nyní ukončen. Regionální rada regionu soudržnosti Střední Morava.</t>
  </si>
  <si>
    <t xml:space="preserve">http://vykazy.brno.qcm.cz/index.php?m=project&amp;order=name&amp;page=1&amp;a=status&amp;id=4265 </t>
  </si>
  <si>
    <t xml:space="preserve">CUNI - E-ZAK - Servisní smlouva </t>
  </si>
  <si>
    <t>…</t>
  </si>
  <si>
    <t xml:space="preserve">http://vykazy.brno.qcm.cz/index.php?m=project&amp;a=status&amp;id=4266 </t>
  </si>
  <si>
    <t>Město ODRY - E-ZAK - Servisní smlouva</t>
  </si>
  <si>
    <t>Dvě smlouvy v jedné. Odry + Brain</t>
  </si>
  <si>
    <t>http://vykazy.brno.qcm.cz/index.php?m=project&amp;a=status&amp;id=4267&amp;order=name&amp;page=1</t>
  </si>
  <si>
    <t>http://vykazy.brno.qcm.cz/index.php?m=project&amp;a=status&amp;id=4269&amp;order=name&amp;page=1</t>
  </si>
  <si>
    <t>Prodloužení smlouvy/podpory objednávkou na rok 2016 do 31.12.2016</t>
  </si>
  <si>
    <t xml:space="preserve">http://vykazy.brno.qcm.cz/index.php?m=project&amp;order=name&amp;page=1&amp;a=status&amp;id=2540 </t>
  </si>
  <si>
    <t>http://vykazy.brno.qcm.cz/index.php?m=project&amp;order=name&amp;page=1&amp;a=status&amp;id=4273</t>
  </si>
  <si>
    <t xml:space="preserve">MV (ÚZSI) - WEB - servisní smlouva </t>
  </si>
  <si>
    <t>Prodloužení projektu/podpory objednávkou do 29.2.2016</t>
  </si>
  <si>
    <t xml:space="preserve">http://vykazy.brno.qcm.cz/index.php?m=project&amp;order=name&amp;page=1&amp;a=status&amp;id=3637 </t>
  </si>
  <si>
    <t>Město Tachov - E-ZAK - servisní smlouva</t>
  </si>
  <si>
    <t>Dodatek č.2  UPGRADE E-ZAK</t>
  </si>
  <si>
    <t>http://vykazy.brno.qcm.cz/index.php?m=project&amp;a=status&amp;id=2430&amp;order=name&amp;page=1</t>
  </si>
  <si>
    <t>Nová smlouva 2016/60 nahrazuje 2015/56 na rok 2015</t>
  </si>
  <si>
    <t xml:space="preserve">http://vykazy.brno.qcm.cz/index.php?m=project&amp;a=status&amp;id=4295 </t>
  </si>
  <si>
    <t xml:space="preserve">Město Karviná - EZAK - servisní smlouva </t>
  </si>
  <si>
    <t>Nahrazuje ukončený projekt 2014/211 (E-ZAK Centrum ICT Karviná)</t>
  </si>
  <si>
    <t xml:space="preserve">http://vykazy.brno.qcm.cz/index.php?m=project&amp;a=status&amp;id=4298 </t>
  </si>
  <si>
    <t>Servisní projekt 2016/45 nahrazuje původní projekt 2013/727 (objednávku)</t>
  </si>
  <si>
    <t>http://vykazy.brno.qcm.cz/index.php?m=project&amp;a=status&amp;id=4280&amp;order=name&amp;page=1</t>
  </si>
  <si>
    <t>zavřena</t>
  </si>
  <si>
    <t>DUPLICITA K 2014/248 - ZAVIRAM (Založeno špatně - objednávka na 3 měs 2015)</t>
  </si>
  <si>
    <t>Konec 29.2.2016, ticket na zrušení monitoringu 45056</t>
  </si>
  <si>
    <t>http://vykazy.brno.qcm.cz/index.php?m=project&amp;a=status&amp;id=3063&amp;order=name&amp;page=1</t>
  </si>
  <si>
    <t xml:space="preserve">Start 25.02.2016 </t>
  </si>
  <si>
    <t xml:space="preserve">http://vykazy.brno.qcm.cz/index.php?m=project&amp;a=status&amp;id=4319 </t>
  </si>
  <si>
    <t xml:space="preserve">MŠMT - WEB - servisní smlouva </t>
  </si>
  <si>
    <t>Dodatek č.4, od 1.1.2016, Změna ceníku prací a aktualizace komunikační matice/kontaktních osob.</t>
  </si>
  <si>
    <t xml:space="preserve">http://vykazy.brno.qcm.cz/index.php?m=project&amp;order=name&amp;page=1&amp;a=status&amp;id=529 </t>
  </si>
  <si>
    <t>ASD Soft 2x smlouva</t>
  </si>
  <si>
    <t>Dodatek č.1. prodloužení obou do 30.5.2016</t>
  </si>
  <si>
    <t>Konec k  30.9.2015 - Potvrzeno s MW, neprodlužuje se</t>
  </si>
  <si>
    <t>http://intranet.brno.qcm.cz/smlouvy/mv-osf-servisni-smlouva</t>
  </si>
  <si>
    <t xml:space="preserve">http://vykazy.brno.qcm.cz/index.php?m=project&amp;a=status&amp;id=4369 </t>
  </si>
  <si>
    <t>http://vykazy.brno.qcm.cz/index.php?m=project&amp;order=name&amp;page=1&amp;a=status&amp;id=4385</t>
  </si>
  <si>
    <t xml:space="preserve">http://vykazy.brno.qcm.cz/index.php?m=project&amp;a=status&amp;id=4373 </t>
  </si>
  <si>
    <t>Prodlouženo objednávkou do 31.1.2017</t>
  </si>
  <si>
    <t>http://vykazy.brno.qcm.cz/index.php?m=project&amp;a=status&amp;id=3200&amp;order=name&amp;page=1</t>
  </si>
  <si>
    <t>Start 6.3.2016</t>
  </si>
  <si>
    <t xml:space="preserve">http://vykazy.brno.qcm.cz/index.php?m=project&amp;a=status&amp;id=4348 </t>
  </si>
  <si>
    <t xml:space="preserve">Český Těšín - EZAK - servisní smlouva </t>
  </si>
  <si>
    <t>Start 4.4.2016</t>
  </si>
  <si>
    <t xml:space="preserve">http://vykazy.brno.qcm.cz/index.php?m=project&amp;a=status&amp;id=4370 </t>
  </si>
  <si>
    <t>RRRSSM - FEA</t>
  </si>
  <si>
    <t>Start 1.2.2016</t>
  </si>
  <si>
    <t>Start 13.4.2016</t>
  </si>
  <si>
    <t>http://vykazy.brno.qcm.cz/index.php?m=project&amp;a=status&amp;id=4395</t>
  </si>
  <si>
    <t xml:space="preserve">http://vykazy.brno.qcm.cz/index.php?m=project&amp;a=status&amp;id=4397 </t>
  </si>
  <si>
    <t>Start 1.5.2016</t>
  </si>
  <si>
    <t>http://vykazy.brno.qcm.cz/index.php?m=project&amp;a=status&amp;id=4365</t>
  </si>
  <si>
    <t>Start 28.4.2016</t>
  </si>
  <si>
    <t xml:space="preserve">http://vykazy.brno.qcm.cz/index.php?m=project&amp;a=status&amp;id=4313 </t>
  </si>
  <si>
    <t>http://vykazy.brno.qcm.cz/index.php?m=project&amp;a=status&amp;id=4158&amp;order=name&amp;page=1</t>
  </si>
  <si>
    <t>Start 11.4.2016</t>
  </si>
  <si>
    <t>http://vykazy.brno.qcm.cz/index.php?m=project&amp;a=status&amp;id=4349</t>
  </si>
  <si>
    <t>Konec 29.2.2016, monitoring zrusen</t>
  </si>
  <si>
    <t>http://vykazy.brno.qcm.cz/index.php?m=project&amp;a=status&amp;id=3637</t>
  </si>
  <si>
    <t>Dodatek č.1</t>
  </si>
  <si>
    <t>http://vykazy.brno.qcm.cz/index.php?m=project&amp;a=status&amp;id=2943&amp;order=-start&amp;page=1</t>
  </si>
  <si>
    <t>Start 20.5.2016</t>
  </si>
  <si>
    <t>http://vykazy.brno.qcm.cz/index.php?m=project&amp;a=status&amp;id=4386&amp;order=-start&amp;page=1</t>
  </si>
  <si>
    <t>Start 19.5.2016</t>
  </si>
  <si>
    <t>http://vykazy.brno.qcm.cz/index.php?m=project&amp;a=status&amp;id=4400</t>
  </si>
  <si>
    <t>http://vykazy.brno.qcm.cz/index.php?m=project&amp;a=status&amp;id=4457&amp;order=name&amp;page=1</t>
  </si>
  <si>
    <t>Start 1.4.2016</t>
  </si>
  <si>
    <t>http://vykazy.brno.qcm.cz/index.php?m=project&amp;order=name&amp;page=1&amp;a=status&amp;id=4384</t>
  </si>
  <si>
    <t>Čištění smluv II. - ukončené</t>
  </si>
  <si>
    <t>E-ZAK pro Nový zákon</t>
  </si>
  <si>
    <t>S (specialni podm)</t>
  </si>
  <si>
    <t>258 / 14.24 %</t>
  </si>
  <si>
    <t>739 / 36.86 %</t>
  </si>
  <si>
    <t>979 / 48.90 %</t>
  </si>
  <si>
    <t>1765.4</t>
  </si>
  <si>
    <t>ETENDERS - servisní smlouva</t>
  </si>
  <si>
    <t>2010/1032</t>
  </si>
  <si>
    <t>Frýdek-Místek - EZAK - servisní smlouva</t>
  </si>
  <si>
    <t>Gemin - Dotazy</t>
  </si>
  <si>
    <t>2012/498</t>
  </si>
  <si>
    <t>Gemin - Incidenty</t>
  </si>
  <si>
    <t>2012/126</t>
  </si>
  <si>
    <t>Gemin - Servisní požadavky</t>
  </si>
  <si>
    <t>2012/128</t>
  </si>
  <si>
    <t>Gemin - Test a sandbox</t>
  </si>
  <si>
    <t>2012/298</t>
  </si>
  <si>
    <t>Karviná - EZAK - servisní smlouva</t>
  </si>
  <si>
    <t>Syntaxit - servisní smlouva web</t>
  </si>
  <si>
    <t>2011/582</t>
  </si>
  <si>
    <t>Teplice - E-ZAK - Servisní smlouva</t>
  </si>
  <si>
    <t>2016/280</t>
  </si>
  <si>
    <t>VFU Brno - EZAK - servisní smlouva od 1.5.2016</t>
  </si>
  <si>
    <t>http://vykazy.brno.qcm.cz/index.php?m=project&amp;a=status&amp;id=4387</t>
  </si>
  <si>
    <t>Konec 31.12.2015</t>
  </si>
  <si>
    <t>http://vykazy.brno.qcm.cz/index.php?m=project&amp;a=status&amp;id=3570</t>
  </si>
  <si>
    <t>Konec 31.8.2016</t>
  </si>
  <si>
    <t>http://vykazy.brno.qcm.cz/index.php?m=project&amp;a=status&amp;id=708&amp;order=name&amp;page=1</t>
  </si>
  <si>
    <t>E-ZAKy celkem</t>
  </si>
  <si>
    <t>GEMIN</t>
  </si>
  <si>
    <t>Marwel</t>
  </si>
  <si>
    <t>M-Palác - kapacita</t>
  </si>
  <si>
    <t>M-Palác - volné místo</t>
  </si>
  <si>
    <t>M-Palác - využito</t>
  </si>
  <si>
    <t>Offsite - využito</t>
  </si>
  <si>
    <t>Offsite - kapacita</t>
  </si>
  <si>
    <t>Offsite - volné místo</t>
  </si>
  <si>
    <t>loklaita</t>
  </si>
  <si>
    <t>zařízení</t>
  </si>
  <si>
    <t>typ</t>
  </si>
  <si>
    <t>zakoupeno</t>
  </si>
  <si>
    <t>záruka do</t>
  </si>
  <si>
    <t>server</t>
  </si>
  <si>
    <t>Přehled objemu dat dle povahy</t>
  </si>
  <si>
    <t>Interní</t>
  </si>
  <si>
    <t>Přehled objemu dat dle produktu</t>
  </si>
  <si>
    <t>počet zákazníků/virtuálů/os per server</t>
  </si>
  <si>
    <t>velikosti zákaznický dat per server</t>
  </si>
  <si>
    <t>Dostupnosti služeb</t>
  </si>
  <si>
    <t>Přehled HW v záruce/mimo záruku</t>
  </si>
  <si>
    <t>Seznam incidentů, řešených situací</t>
  </si>
  <si>
    <t>Zimbra - přehled (mailboxy, velikosti)</t>
  </si>
  <si>
    <t>Zálohování přehled - velikosti, lokality</t>
  </si>
  <si>
    <t>web 35</t>
  </si>
  <si>
    <t>lokalita</t>
  </si>
  <si>
    <t>stroj</t>
  </si>
  <si>
    <t>velikost</t>
  </si>
  <si>
    <t>popis</t>
  </si>
  <si>
    <t>Přehled VM's</t>
  </si>
  <si>
    <t>Produkty</t>
  </si>
  <si>
    <r>
      <t xml:space="preserve">Slabá místa infrastruktury / rizika </t>
    </r>
    <r>
      <rPr>
        <sz val="11"/>
        <color theme="1"/>
        <rFont val="Calibri"/>
        <family val="2"/>
        <charset val="238"/>
        <scheme val="minor"/>
      </rPr>
      <t>(trvající v aktuálním období)</t>
    </r>
  </si>
  <si>
    <t>brno</t>
  </si>
  <si>
    <t>dell PE350</t>
  </si>
  <si>
    <t>Převážně E-Zaky, seznam zde:dsssss.  Max velikost 5GB</t>
  </si>
  <si>
    <t>4,5GB</t>
  </si>
  <si>
    <t>prg dc</t>
  </si>
  <si>
    <t>název</t>
  </si>
  <si>
    <t>M-Palac</t>
  </si>
  <si>
    <t>zařízení/služba</t>
  </si>
  <si>
    <t>FW …</t>
  </si>
  <si>
    <t>Zařízení po záruce, výměna pomalá, …</t>
  </si>
  <si>
    <t>204/14.49%</t>
  </si>
  <si>
    <t>575/40.84%</t>
  </si>
  <si>
    <t>629/44.67%</t>
  </si>
  <si>
    <t>84.5</t>
  </si>
  <si>
    <t>Kutná Hora - EZAK - servisní smlouva</t>
  </si>
  <si>
    <t>2016/285</t>
  </si>
  <si>
    <t>Ťápal2</t>
  </si>
  <si>
    <t>Prodlouženo a změna podmínek. Do 30.6.2017</t>
  </si>
  <si>
    <t>http://vykazy.brno.qcm.cz/index.php?m=project&amp;a=status&amp;id=3674&amp;order=name&amp;page=1</t>
  </si>
  <si>
    <t>Start 1.7.2016</t>
  </si>
  <si>
    <t>http://vykazy.brno.qcm.cz/index.php?m=project&amp;a=status&amp;id=4394&amp;order=name&amp;page=1</t>
  </si>
  <si>
    <t>objednávka 2016 / 402 / 0 - na období od 1.7.2016 do 31.12.2016</t>
  </si>
  <si>
    <t>http://vykazy.brno.qcm.cz/index.php?m=project&amp;a=status&amp;id=1803&amp;order=name&amp;page=1</t>
  </si>
  <si>
    <t>Navýšení tarifu od 1.7.2016</t>
  </si>
  <si>
    <t>http://vykazy.brno.qcm.cz/index.php?m=project&amp;a=status&amp;id=3368&amp;order=name&amp;page=1</t>
  </si>
  <si>
    <t>konec</t>
  </si>
  <si>
    <t>Konec 4.5.2016 - pronájem stále běží, jako vícepráce na jiný projekt. IL</t>
  </si>
  <si>
    <t>http://vykazy.brno.qcm.cz/index.php?m=project&amp;a=status&amp;id=3551&amp;order=name&amp;page=1</t>
  </si>
  <si>
    <t xml:space="preserve">ASD Software (ESF) WEB + TECH </t>
  </si>
  <si>
    <t>2015/454 + 2015/458</t>
  </si>
  <si>
    <t>Konec 30.5.2016</t>
  </si>
  <si>
    <t xml:space="preserve">http://vykazy.brno.qcm.cz/index.php?m=project&amp;order=name&amp;page=1&amp;a=status&amp;id=4205, http://vykazy.brno.qcm.cz/index.php?m=project&amp;order=name&amp;page=1&amp;a=status&amp;id=4209 
</t>
  </si>
  <si>
    <t>od 1.6. změna podmínek kreditních  hodin</t>
  </si>
  <si>
    <t>http://vykazy.brno.qcm.cz/index.php?m=project&amp;a=status&amp;id=959&amp;order=name&amp;page=1</t>
  </si>
  <si>
    <t>od 1.4.2016 nové plat podmínky</t>
  </si>
  <si>
    <t>http://vykazy.brno.qcm.cz/index.php?m=project&amp;order=name&amp;page=1&amp;a=status&amp;id=3326</t>
  </si>
  <si>
    <t xml:space="preserve">Český Aeroholding - EZAK - servisní smlouva </t>
  </si>
  <si>
    <t>od 1.4.2016</t>
  </si>
  <si>
    <t xml:space="preserve">http://vykazy.brno.qcm.cz/index.php?m=project&amp;a=status&amp;id=4402 </t>
  </si>
  <si>
    <t>konec nahrazeno už nastartovanou 2016/222</t>
  </si>
  <si>
    <t>http://vykazy.brno.qcm.cz/index.php?m=project&amp;order=name&amp;page=1&amp;a=status&amp;id=3064</t>
  </si>
  <si>
    <t>DC Praha - Casablanca</t>
  </si>
  <si>
    <t>DC Brno - Master</t>
  </si>
  <si>
    <t>M-Palác</t>
  </si>
  <si>
    <t>DC: provoz tržiště GEMIN + další drobnosti</t>
  </si>
  <si>
    <t>DC: provoz zákaznických VM's - E-ZAKy a WEBy</t>
  </si>
  <si>
    <t>Pobočka: Interní prod. systémy + vývoj</t>
  </si>
  <si>
    <t>ISP HOSTING</t>
  </si>
  <si>
    <t>konektivita: 1Gbit</t>
  </si>
  <si>
    <t>konektivita: GTS linka 8/8 Mbit, FASTER linka 20/20 Mbit</t>
  </si>
  <si>
    <t>WAN SW</t>
  </si>
  <si>
    <t>WAN / FW</t>
  </si>
  <si>
    <t>WAN switch 2x, redundance není zapojená</t>
  </si>
  <si>
    <t>WAN switch 2x, redundance ano</t>
  </si>
  <si>
    <t>Starý vs. nový FW</t>
  </si>
  <si>
    <t>SRV 1</t>
  </si>
  <si>
    <t>SRV 2</t>
  </si>
  <si>
    <t>SRV 3</t>
  </si>
  <si>
    <t>ET1 (Dell PE R710)</t>
  </si>
  <si>
    <t>ET2 (Dell PE R710)</t>
  </si>
  <si>
    <t>Joshua (Dell PE R710)</t>
  </si>
  <si>
    <t>Marthy (Dell PE 720)</t>
  </si>
  <si>
    <t>CML (Dell PE R720)</t>
  </si>
  <si>
    <t>HW: standard DELL srv.</t>
  </si>
  <si>
    <t>HW: standard srv.</t>
  </si>
  <si>
    <t>LAN</t>
  </si>
  <si>
    <t>redundantní LAN, oddělená storage síť</t>
  </si>
  <si>
    <t>redundantní LAN, vlan storage síť na LAN</t>
  </si>
  <si>
    <t>jednoduchá LAN, vlan storage síť na LAN</t>
  </si>
  <si>
    <t>STOR 1</t>
  </si>
  <si>
    <t>STOR 2</t>
  </si>
  <si>
    <t>DPET (DELL PV MD3200)</t>
  </si>
  <si>
    <t>DCPSM1 (SM)</t>
  </si>
  <si>
    <t>DCBSM1</t>
  </si>
  <si>
    <t>DCBSM2</t>
  </si>
  <si>
    <t>BACKUP</t>
  </si>
  <si>
    <t>BSET (SM)</t>
  </si>
  <si>
    <t>PROXON2</t>
  </si>
  <si>
    <t>MPSM1 (SM)</t>
  </si>
  <si>
    <t>Intel, starý</t>
  </si>
  <si>
    <r>
      <t xml:space="preserve">Záruky HW? </t>
    </r>
    <r>
      <rPr>
        <sz val="10"/>
        <color rgb="FFFF0000"/>
        <rFont val="Calibri"/>
        <family val="2"/>
        <charset val="238"/>
        <scheme val="minor"/>
      </rPr>
      <t>Riziko</t>
    </r>
  </si>
  <si>
    <r>
      <t xml:space="preserve">Gemin na jednom ze serverů napevno. </t>
    </r>
    <r>
      <rPr>
        <sz val="10"/>
        <color rgb="FFFF0000"/>
        <rFont val="Calibri"/>
        <family val="2"/>
        <charset val="238"/>
        <scheme val="minor"/>
      </rPr>
      <t>Riziko.</t>
    </r>
  </si>
  <si>
    <r>
      <t xml:space="preserve">Zálohy na stejném místě jako VM's. </t>
    </r>
    <r>
      <rPr>
        <sz val="10"/>
        <color rgb="FFFF0000"/>
        <rFont val="Calibri"/>
        <family val="2"/>
        <charset val="238"/>
        <scheme val="minor"/>
      </rPr>
      <t>Riziko.</t>
    </r>
  </si>
  <si>
    <r>
      <t>Wan switch nefunkční redundance.</t>
    </r>
    <r>
      <rPr>
        <sz val="10"/>
        <color rgb="FFFF0000"/>
        <rFont val="Calibri"/>
        <family val="2"/>
        <charset val="238"/>
        <scheme val="minor"/>
      </rPr>
      <t xml:space="preserve"> Riziko.</t>
    </r>
  </si>
  <si>
    <t>Další grafy/nápady pro Infrastrukturu:</t>
  </si>
  <si>
    <t>Další grafy/nápady pro Servis:</t>
  </si>
  <si>
    <t>Refresh metodiky produktu - datum a plán</t>
  </si>
  <si>
    <t>DC Brno - kapacita VM</t>
  </si>
  <si>
    <t>DC Brno - využito VM</t>
  </si>
  <si>
    <t>DC Brno - volné místo VM</t>
  </si>
  <si>
    <t>DC Brno - kapacita BAK</t>
  </si>
  <si>
    <t>DC Brno - využito BAK</t>
  </si>
  <si>
    <t>DC Brno - volné místo BAK</t>
  </si>
  <si>
    <t>DC Praha - kapacita VM</t>
  </si>
  <si>
    <t>DC Praha - využito VM</t>
  </si>
  <si>
    <t>DC Praha - volné místo VM</t>
  </si>
  <si>
    <t>DC Praha - kapacita BAK</t>
  </si>
  <si>
    <t>DC Praha - využito BAK</t>
  </si>
  <si>
    <t>DC Praha - volné místo BAK</t>
  </si>
  <si>
    <t>DC Brno - volné místo %</t>
  </si>
  <si>
    <t>DC Praha - volné místo %</t>
  </si>
  <si>
    <t>M-Palác - volné místo %</t>
  </si>
  <si>
    <t>Offsite - volné místo %</t>
  </si>
  <si>
    <t>Přehled kapacit storage dle lokality (GB)</t>
  </si>
  <si>
    <t>DCB</t>
  </si>
  <si>
    <t>ONYX</t>
  </si>
  <si>
    <t>Dell PowerEdge 2950</t>
  </si>
  <si>
    <t>2006/09</t>
  </si>
  <si>
    <t>2009/09</t>
  </si>
  <si>
    <t>MARTY</t>
  </si>
  <si>
    <t>Dell PowerEdge R720</t>
  </si>
  <si>
    <t>2015/01</t>
  </si>
  <si>
    <t>2018/01</t>
  </si>
  <si>
    <t>V záruce, OK</t>
  </si>
  <si>
    <t>JOSHUA</t>
  </si>
  <si>
    <t>Dell PowerEdge R710</t>
  </si>
  <si>
    <t>2011/12</t>
  </si>
  <si>
    <t>2014/12</t>
  </si>
  <si>
    <t>Bez záruky, OK</t>
  </si>
  <si>
    <t>CML</t>
  </si>
  <si>
    <t>2015/12</t>
  </si>
  <si>
    <t>storage</t>
  </si>
  <si>
    <t>Intel SSR212MC2BR</t>
  </si>
  <si>
    <t>2009/06</t>
  </si>
  <si>
    <t>Supermicro 3U</t>
  </si>
  <si>
    <t>2014/01</t>
  </si>
  <si>
    <t>2017/01</t>
  </si>
  <si>
    <t>2014/x</t>
  </si>
  <si>
    <t>2017/x</t>
  </si>
  <si>
    <t>BSET</t>
  </si>
  <si>
    <t>Supermicro 2U</t>
  </si>
  <si>
    <t>2012/02</t>
  </si>
  <si>
    <t>2015/02</t>
  </si>
  <si>
    <t>páska</t>
  </si>
  <si>
    <t>DPV5</t>
  </si>
  <si>
    <t>DELL PowerVault124</t>
  </si>
  <si>
    <t>HAMMER</t>
  </si>
  <si>
    <t>Dell PowerEdge 860</t>
  </si>
  <si>
    <t>2007/02</t>
  </si>
  <si>
    <t>2010/02</t>
  </si>
  <si>
    <t>DCP</t>
  </si>
  <si>
    <t>ET1</t>
  </si>
  <si>
    <t>2012/01</t>
  </si>
  <si>
    <t>ET2</t>
  </si>
  <si>
    <t>ET4</t>
  </si>
  <si>
    <t>Dell PowerEdge R730</t>
  </si>
  <si>
    <t>2015/10</t>
  </si>
  <si>
    <t>2020/08</t>
  </si>
  <si>
    <t>raid</t>
  </si>
  <si>
    <t>DPET</t>
  </si>
  <si>
    <t>Dell PowerVault MD3200</t>
  </si>
  <si>
    <t>FW</t>
  </si>
  <si>
    <t>HP ProLiant DL140 G3</t>
  </si>
  <si>
    <t>2007/x</t>
  </si>
  <si>
    <t>ESX2</t>
  </si>
  <si>
    <t>2008/10</t>
  </si>
  <si>
    <t>ESX3</t>
  </si>
  <si>
    <t>2009/07</t>
  </si>
  <si>
    <t>2012/07</t>
  </si>
  <si>
    <t>ESX4</t>
  </si>
  <si>
    <t>2010/06</t>
  </si>
  <si>
    <t>2013/06</t>
  </si>
  <si>
    <t>ESX5</t>
  </si>
  <si>
    <t>MPSM1</t>
  </si>
  <si>
    <t>2012/11</t>
  </si>
  <si>
    <t>2015/11</t>
  </si>
  <si>
    <t>MPSM2</t>
  </si>
  <si>
    <t>2015/04</t>
  </si>
  <si>
    <t>2018/04</t>
  </si>
  <si>
    <t>DPV3</t>
  </si>
  <si>
    <t>Dell PowerVault TL2000</t>
  </si>
  <si>
    <t>Faster</t>
  </si>
  <si>
    <t>FAOFFSITE</t>
  </si>
  <si>
    <t>??</t>
  </si>
  <si>
    <t>Na HW</t>
  </si>
  <si>
    <t>breclav</t>
  </si>
  <si>
    <t>dcbprox</t>
  </si>
  <si>
    <t>dcbvc55</t>
  </si>
  <si>
    <t>dcpveeam</t>
  </si>
  <si>
    <t>external</t>
  </si>
  <si>
    <t>firebrno</t>
  </si>
  <si>
    <t>ldap</t>
  </si>
  <si>
    <t>ldap-replica</t>
  </si>
  <si>
    <t>mariadb55b</t>
  </si>
  <si>
    <t>monitor</t>
  </si>
  <si>
    <t>msmt-db</t>
  </si>
  <si>
    <t>msmt</t>
  </si>
  <si>
    <t>mx2</t>
  </si>
  <si>
    <t>mysql4</t>
  </si>
  <si>
    <t>mysql5b</t>
  </si>
  <si>
    <t>mysql5c</t>
  </si>
  <si>
    <t>mysql5d</t>
  </si>
  <si>
    <t>nuvi</t>
  </si>
  <si>
    <t>nuv2013</t>
  </si>
  <si>
    <t>orion</t>
  </si>
  <si>
    <t>orion2</t>
  </si>
  <si>
    <t>orion3</t>
  </si>
  <si>
    <t>postgresql83</t>
  </si>
  <si>
    <t>rscz-test</t>
  </si>
  <si>
    <t>rscz03</t>
  </si>
  <si>
    <t>rscz04</t>
  </si>
  <si>
    <t>web02</t>
  </si>
  <si>
    <t>web03</t>
  </si>
  <si>
    <t>web04</t>
  </si>
  <si>
    <t>web05</t>
  </si>
  <si>
    <t>web07</t>
  </si>
  <si>
    <t>web08</t>
  </si>
  <si>
    <t>web17</t>
  </si>
  <si>
    <t>web19</t>
  </si>
  <si>
    <t>web21</t>
  </si>
  <si>
    <t>web25</t>
  </si>
  <si>
    <t>web27</t>
  </si>
  <si>
    <t>web28</t>
  </si>
  <si>
    <t>web31</t>
  </si>
  <si>
    <t>web32</t>
  </si>
  <si>
    <t>web34</t>
  </si>
  <si>
    <t>web35</t>
  </si>
  <si>
    <t>web36</t>
  </si>
  <si>
    <t>web37</t>
  </si>
  <si>
    <t>web38</t>
  </si>
  <si>
    <t>web39</t>
  </si>
  <si>
    <t>web40</t>
  </si>
  <si>
    <t>web42</t>
  </si>
  <si>
    <t>web43</t>
  </si>
  <si>
    <t>web44</t>
  </si>
  <si>
    <t>web45</t>
  </si>
  <si>
    <t>web46</t>
  </si>
  <si>
    <t>Allytrade</t>
  </si>
  <si>
    <t>auks</t>
  </si>
  <si>
    <t>db</t>
  </si>
  <si>
    <t>db-devel</t>
  </si>
  <si>
    <t>dcbveeam2016</t>
  </si>
  <si>
    <t>dcpdns</t>
  </si>
  <si>
    <t>dcpprox</t>
  </si>
  <si>
    <t>dcpvc55</t>
  </si>
  <si>
    <t>etmail</t>
  </si>
  <si>
    <t>etmonitor</t>
  </si>
  <si>
    <t>etr</t>
  </si>
  <si>
    <t>mailing</t>
  </si>
  <si>
    <t>rabbitmq</t>
  </si>
  <si>
    <t>rabbitmq-test</t>
  </si>
  <si>
    <t>rscz</t>
  </si>
  <si>
    <t>rscz-mpsv</t>
  </si>
  <si>
    <t>sbauks</t>
  </si>
  <si>
    <t>sbdb</t>
  </si>
  <si>
    <t>sbetr</t>
  </si>
  <si>
    <t>suklmon</t>
  </si>
  <si>
    <t>testauks</t>
  </si>
  <si>
    <t>testdb</t>
  </si>
  <si>
    <t>testetr</t>
  </si>
  <si>
    <t>web41</t>
  </si>
  <si>
    <t>Codexis</t>
  </si>
  <si>
    <t>MP</t>
  </si>
  <si>
    <t>db2</t>
  </si>
  <si>
    <t>db4</t>
  </si>
  <si>
    <t>dev2-ezak</t>
  </si>
  <si>
    <t>dev3-ezak</t>
  </si>
  <si>
    <t>dicrdev</t>
  </si>
  <si>
    <t>etrziste-devel</t>
  </si>
  <si>
    <t>git</t>
  </si>
  <si>
    <t>helios</t>
  </si>
  <si>
    <t>inter-redmine</t>
  </si>
  <si>
    <t>mion</t>
  </si>
  <si>
    <t>mpvc</t>
  </si>
  <si>
    <t>ns1</t>
  </si>
  <si>
    <t>ocs</t>
  </si>
  <si>
    <t>pigi7</t>
  </si>
  <si>
    <t>pigi8</t>
  </si>
  <si>
    <t>pigi9</t>
  </si>
  <si>
    <t>quark</t>
  </si>
  <si>
    <t>quirk</t>
  </si>
  <si>
    <t>rscz-devel</t>
  </si>
  <si>
    <t>svn</t>
  </si>
  <si>
    <t>ts-devel</t>
  </si>
  <si>
    <t>vpn</t>
  </si>
  <si>
    <t>WinServerRDP</t>
  </si>
  <si>
    <t>winxp</t>
  </si>
  <si>
    <t>WinXPvyvojar</t>
  </si>
  <si>
    <t>win7</t>
  </si>
  <si>
    <t>xen</t>
  </si>
  <si>
    <t>xeon</t>
  </si>
  <si>
    <t>Zimbra-U14</t>
  </si>
  <si>
    <t>Vol. GB</t>
  </si>
  <si>
    <t>ET4 (DELL PE R730)</t>
  </si>
  <si>
    <t>HW: redundantní DELL srv.</t>
  </si>
  <si>
    <t>PVU pro Nový zákon</t>
  </si>
  <si>
    <t>ESX 5 (Dell PE R710)</t>
  </si>
  <si>
    <t>ESX 4 (DELL PE R710)</t>
  </si>
  <si>
    <t>ESX 3 (Dell PE R710)</t>
  </si>
  <si>
    <t>204/12,84%</t>
  </si>
  <si>
    <t>600/37,76%</t>
  </si>
  <si>
    <t>785/49,4%</t>
  </si>
  <si>
    <t>GFŘ - EZAK - servisní smlouva ARCHIV !!!</t>
  </si>
  <si>
    <t>2016/308</t>
  </si>
  <si>
    <t>Nezisková (zisk je nulový nebo mínusový - potřeba řešit) Olivius počátat do N</t>
  </si>
  <si>
    <t>Report TS: Náklady a výnosy servisních projektů</t>
  </si>
  <si>
    <t>Report TS: Tickety řešené</t>
  </si>
  <si>
    <r>
      <t xml:space="preserve">Servisní projekty - překročené data v GB </t>
    </r>
    <r>
      <rPr>
        <sz val="14"/>
        <color rgb="FFFF0000"/>
        <rFont val="Calibri"/>
        <family val="2"/>
        <charset val="238"/>
        <scheme val="minor"/>
      </rPr>
      <t>(neúčtované)</t>
    </r>
  </si>
  <si>
    <t>výpadek elektřiny + výpadek linky</t>
  </si>
  <si>
    <t>konec k 1.8.2016 výpovědí</t>
  </si>
  <si>
    <t>http://vykazy.brno.qcm.cz/index.php?m=project&amp;order=name&amp;page=1&amp;a=status&amp;id=2701</t>
  </si>
  <si>
    <t>Start 27.7.2016</t>
  </si>
  <si>
    <t>http://vykazy.brno.qcm.cz/index.php?m=project&amp;a=status&amp;id=4515&amp;order=name&amp;page=1</t>
  </si>
  <si>
    <t>konec 31.7.2016</t>
  </si>
  <si>
    <t>http://vykazy.brno.qcm.cz/index.php?m=project&amp;a=status&amp;id=4050&amp;order=-start&amp;page=1</t>
  </si>
  <si>
    <t>start 1.8.2016</t>
  </si>
  <si>
    <t>http://vykazy.brno.qcm.cz/index.php?m=project&amp;a=status&amp;id=4347</t>
  </si>
  <si>
    <t>navazující smlouva od 1.8.2016 do 31.7.2017</t>
  </si>
  <si>
    <t>http://vykazy.brno.qcm.cz/index.php?m=project&amp;order=name&amp;page=1&amp;a=status&amp;id=3622</t>
  </si>
  <si>
    <t>Ukončeno k 1.8.2016</t>
  </si>
  <si>
    <t>http://vykazy.brno.qcm.cz/index.php?m=project&amp;order=name&amp;page=1&amp;a=status&amp;id=2740</t>
  </si>
  <si>
    <t>Ukončeno k 31.7.2016</t>
  </si>
  <si>
    <t>http://intranet.brno.qcm.cz/smlouvy/brno-mc-kohoutovice-web-servisni-smlouva</t>
  </si>
  <si>
    <t>Start 1.9.2016</t>
  </si>
  <si>
    <t>http://intranet.brno.qcm.cz/smlouvy/kutna-hora-ezak-servisni-smlouva</t>
  </si>
  <si>
    <t>Změna podmínek od 1.8.2016</t>
  </si>
  <si>
    <t>http://vykazy.brno.qcm.cz/index.php?m=project&amp;order=name&amp;page=1&amp;a=status&amp;id=4269</t>
  </si>
  <si>
    <t xml:space="preserve">Pardubický kraj - EZAK - servisní smlouva </t>
  </si>
  <si>
    <t xml:space="preserve">http://vykazy.brno.qcm.cz/index.php?m=project&amp;a=status&amp;id=2803&amp;order=name&amp;page=1 </t>
  </si>
  <si>
    <t>Nová serviska nahrazuje starou 2016/134</t>
  </si>
  <si>
    <t>http://vykazy.brno.qcm.cz/index.php?m=project&amp;order=name&amp;page=1&amp;a=status&amp;id=4543</t>
  </si>
  <si>
    <t>Změna podmínek od 1.7.2016</t>
  </si>
  <si>
    <t>http://vykazy.brno.qcm.cz/index.php?m=project&amp;order=name&amp;page=1&amp;a=status&amp;id=2804</t>
  </si>
  <si>
    <t>Cejiza - EZAK - servisní smlouva</t>
  </si>
  <si>
    <t>Nová navazující smlouva. Nové podmínky do 31.8.2020</t>
  </si>
  <si>
    <t xml:space="preserve">http://vykazy.brno.qcm.cz/index.php?m=project&amp;a=status&amp;id=3829&amp;order=name&amp;page=1 </t>
  </si>
  <si>
    <t xml:space="preserve">MČ Kohoutovice - EZAK - servisní smlouva </t>
  </si>
  <si>
    <t>Konec 31.7.2016 (neprodlouženo)</t>
  </si>
  <si>
    <t>http://vykazy.brno.qcm.cz/index.php?m=project&amp;order=name&amp;page=1&amp;a=status&amp;id=2842</t>
  </si>
  <si>
    <t xml:space="preserve">Cyrrus - WEB - servisní smlouva </t>
  </si>
  <si>
    <t>Konec 31.8.2016 (neprodlouženo)</t>
  </si>
  <si>
    <t xml:space="preserve">http://vykazy.brno.qcm.cz/index.php?m=project&amp;a=status&amp;id=708&amp;order=name&amp;page=1 </t>
  </si>
  <si>
    <t>Zrušen (8/2016)</t>
  </si>
  <si>
    <t>280/17,04%</t>
  </si>
  <si>
    <t>626/38,10%</t>
  </si>
  <si>
    <t>737/44,86%</t>
  </si>
  <si>
    <t>Report TS: Uživatel, projekt, období</t>
  </si>
  <si>
    <t>AK Salmon - EZAK - servisní smlouva</t>
  </si>
  <si>
    <t>2016/351</t>
  </si>
  <si>
    <t>STAPRO s.r.o. - EZAK - servisní smlouva</t>
  </si>
  <si>
    <t>Štíty - WEB - servisní smlouva</t>
  </si>
  <si>
    <t>2016/352</t>
  </si>
  <si>
    <t>výpadek linky 1,5h</t>
  </si>
  <si>
    <t>DC Brno</t>
  </si>
  <si>
    <t>DC Praha</t>
  </si>
  <si>
    <t>Životní ciklus smluv - vylepšení</t>
  </si>
  <si>
    <t>Pozn k lokalitě:</t>
  </si>
  <si>
    <t>karvina</t>
  </si>
  <si>
    <t>NUOV-weby</t>
  </si>
  <si>
    <t>web15</t>
  </si>
  <si>
    <t>web30</t>
  </si>
  <si>
    <t>web48</t>
  </si>
  <si>
    <t>m2-dev-external</t>
  </si>
  <si>
    <t>m2-dev</t>
  </si>
  <si>
    <t>Konfigurace FW Mikrotik</t>
  </si>
  <si>
    <t>Antispam ASSP</t>
  </si>
  <si>
    <t>Konsolidace DC (přenos Gemin)</t>
  </si>
  <si>
    <t>Log zásadních výpadků služeb infrastruktury</t>
  </si>
  <si>
    <t>čas</t>
  </si>
  <si>
    <t xml:space="preserve">14:58 - 15:35 </t>
  </si>
  <si>
    <t>Výpadek konektivity do internetu. Problém na straně dodavatele. V důsledku výpadku nebyly z internetu dostupné služby na M-Paláci a nebylo možné spojení z M-Paláce do internetu.
Služby v datacentrech Brno i Praha nebyly výpadkem ovlivněny. Vyjádření Fasteru: "problém s peeringem"</t>
  </si>
  <si>
    <t>Sokolov - EZAK - servisní smlouva</t>
  </si>
  <si>
    <t>Nové podmínky od 1.9.2016</t>
  </si>
  <si>
    <t>http://vykazy.brno.qcm.cz/index.php?m=project&amp;order=name&amp;page=1&amp;a=status&amp;id=2279</t>
  </si>
  <si>
    <t>Nové funkcionality</t>
  </si>
  <si>
    <t xml:space="preserve">http://vykazy.brno.qcm.cz/index.php?m=project&amp;order=name&amp;page=1&amp;a=status&amp;id=2700 </t>
  </si>
  <si>
    <t>Start 1.10.2016</t>
  </si>
  <si>
    <t>http://vykazy.brno.qcm.cz/index.php?m=project&amp;a=status&amp;id=4586</t>
  </si>
  <si>
    <t>TUL - EZAK - nadprác</t>
  </si>
  <si>
    <t>Ukončeno k 23.1.2016</t>
  </si>
  <si>
    <t>http://vykazy.brno.qcm.cz/index.php?m=project&amp;order=name&amp;page=1&amp;a=status&amp;id=2545</t>
  </si>
  <si>
    <t>TUL - EZAK - servisní smlouva</t>
  </si>
  <si>
    <t>2016/386</t>
  </si>
  <si>
    <t>Od 23.1.2016</t>
  </si>
  <si>
    <t>http://vykazy.brno.qcm.cz/index.php?m=project&amp;a=status&amp;id=4621&amp;order=name&amp;page=1</t>
  </si>
  <si>
    <t>PMDP - EZAK - servisní smlouva</t>
  </si>
  <si>
    <t>2016/385</t>
  </si>
  <si>
    <t>od 26.9.2016</t>
  </si>
  <si>
    <t>http://vykazy.brno.qcm.cz/index.php?m=project&amp;a=status&amp;id=4620&amp;order=name&amp;page=1</t>
  </si>
  <si>
    <t>od 10.10.2016</t>
  </si>
  <si>
    <t>http://vykazy.brno.qcm.cz/index.php?m=project&amp;a=status&amp;id=4389&amp;order=name&amp;page=1</t>
  </si>
  <si>
    <t>od 17.10.2016</t>
  </si>
  <si>
    <t>http://vykazy.brno.qcm.cz/index.php?m=project&amp;a=status&amp;id=2901&amp;order=name&amp;page=1</t>
  </si>
  <si>
    <t>Master DC</t>
  </si>
  <si>
    <t>23:00 - 02:00</t>
  </si>
  <si>
    <t>Master DC - konektivita</t>
  </si>
  <si>
    <t>ISP - intenretová linka Faster</t>
  </si>
  <si>
    <t>Vypadky byly od cca 23:00 (1.11.) - 02:00 Pro klienty tedy aplikace v tuto dobu castecne nejely, nebo jely velmi pomalu. 
Podle Masteru souběh dvou okolností: "Neohlášená údržba sítě (řešíme dále s dodavatelem) a poté nestandardní chování páteřního routeru v lokalitě CE Colo Praha."</t>
  </si>
  <si>
    <t>Upgrade storage</t>
  </si>
  <si>
    <t>StorTest</t>
  </si>
  <si>
    <t>Pozn: Vždy odfiltrovat Jirka Dobčák z vedoucích, odfiltrovat Syntaxit serviska a mailserver (celkem 3ks), odfiltrovat ETENDERS servisku, stav otevřený</t>
  </si>
  <si>
    <t>Praha 12 - EZAK - servisní smlouva</t>
  </si>
  <si>
    <t>Západočeská univerzita v Plzni - EZAK - servisní smlouva - status projektu</t>
  </si>
  <si>
    <t>4.11.2016</t>
  </si>
  <si>
    <t>od 10/2016</t>
  </si>
  <si>
    <t>http://vykazy.brno.qcm.cz/index.php?m=project&amp;order=name&amp;page=1&amp;a=status&amp;id=4387</t>
  </si>
  <si>
    <t>190/11,48%</t>
  </si>
  <si>
    <t xml:space="preserve"> 631/38,13%</t>
  </si>
  <si>
    <t>834/50.39%</t>
  </si>
  <si>
    <t>89.97</t>
  </si>
  <si>
    <t>výpadek linky 45min</t>
  </si>
  <si>
    <t>backup</t>
  </si>
  <si>
    <t>DCPSM2</t>
  </si>
  <si>
    <t>2016/09</t>
  </si>
  <si>
    <t>???</t>
  </si>
  <si>
    <t>DCBSM3</t>
  </si>
  <si>
    <t>Zavedení recovery testů</t>
  </si>
  <si>
    <t>Přehled core zařízení provozní infrastruktury</t>
  </si>
  <si>
    <t>STOR 3</t>
  </si>
  <si>
    <t>DCPSM2 (SM)</t>
  </si>
  <si>
    <r>
      <t xml:space="preserve">Je jen jeden storage. </t>
    </r>
    <r>
      <rPr>
        <sz val="10"/>
        <color rgb="FFFF0000"/>
        <rFont val="Calibri"/>
        <family val="2"/>
        <charset val="238"/>
        <scheme val="minor"/>
      </rPr>
      <t>Riziko.</t>
    </r>
  </si>
  <si>
    <t>Vykazování kluků</t>
  </si>
  <si>
    <t>Testy zálohovacího systému - recovery sesison</t>
  </si>
  <si>
    <t>Vytíženost linky M-Palác - graf</t>
  </si>
  <si>
    <t>22:00 - 08:00</t>
  </si>
  <si>
    <t>Interní - Pošta</t>
  </si>
  <si>
    <t xml:space="preserve">Pres noc byla Zimbra v nejakem divnem stavu, pravdepodobne asi od zalohovani celeho VM-ka. Cca v 8:00 jsem to zprovoznil. Maily ktere v dobu nefunkcnosti neprisly by mely normalne prijit. KK
Nepřišly SMS alerty. Nebyl signál díky špatně nastavené anténě v prg dc, opraveno. Nyní chodí.
</t>
  </si>
  <si>
    <t>230/13,58%</t>
  </si>
  <si>
    <t>565/33,35%</t>
  </si>
  <si>
    <t>899/53,07%</t>
  </si>
  <si>
    <t>2 dny školení</t>
  </si>
  <si>
    <t>Počet ticketů řešených v měsíci - Podpora</t>
  </si>
  <si>
    <t>Elektronická košilka - kolečko</t>
  </si>
  <si>
    <t>xen2-devel</t>
  </si>
  <si>
    <t>Zrušen (11/2016)</t>
  </si>
  <si>
    <t>network</t>
  </si>
  <si>
    <t>Mikrotik CCR-1036</t>
  </si>
  <si>
    <t>2015/??</t>
  </si>
  <si>
    <t>Karviná - web - servisní smlouva</t>
  </si>
  <si>
    <t>2016/444</t>
  </si>
  <si>
    <t>obnovení na 1.12.2016 - 31.1.2017</t>
  </si>
  <si>
    <t>1.12.2016</t>
  </si>
  <si>
    <t>Start 14.11.2016</t>
  </si>
  <si>
    <t>http://vykazy.brno.qcm.cz/index.php?m=project&amp;a=status&amp;id=4679&amp;order=name&amp;page=1</t>
  </si>
  <si>
    <t>5.12.2016</t>
  </si>
  <si>
    <t>Smlouva skončila k 31.7.2016</t>
  </si>
  <si>
    <t xml:space="preserve">http://intranet.brno.qcm.cz/smlouvy/mpo-podpora-provoz-a-rozvoj-intranetu-servisni-smlouva </t>
  </si>
  <si>
    <t>189/17,20%</t>
  </si>
  <si>
    <t>388/35,30%</t>
  </si>
  <si>
    <t>522/47,50%</t>
  </si>
  <si>
    <t>15.12.2016</t>
  </si>
  <si>
    <t>Smlouva prodloužena od 1.1.2017 do 30.6.2017</t>
  </si>
  <si>
    <t>http://vykazy.brno.qcm.cz/index.php?m=project&amp;order=name&amp;page=1&amp;a=status&amp;id=1803</t>
  </si>
  <si>
    <t>Krajská nemocnice Liberec - eaukce - servisní smlouva</t>
  </si>
  <si>
    <t>2016/466</t>
  </si>
  <si>
    <t>2.1.2017</t>
  </si>
  <si>
    <t>Smlouva na dobu určitou od 1.12.2016 do 30.11.2017</t>
  </si>
  <si>
    <t>http://vykazy.brno.qcm.cz/index.php?m=project&amp;order=name&amp;page=1&amp;a=status&amp;id=4701</t>
  </si>
  <si>
    <t>4.1.2017</t>
  </si>
  <si>
    <t>Smlouva prodloužena do 31.3.2017</t>
  </si>
  <si>
    <t>http://vykazy.brno.qcm.cz/index.php?m=project&amp;a=status&amp;id=4165&amp;order=name&amp;page=1</t>
  </si>
  <si>
    <t xml:space="preserve">Přijaté </t>
  </si>
  <si>
    <t>Zmeškané</t>
  </si>
  <si>
    <t>čt</t>
  </si>
  <si>
    <t>pa</t>
  </si>
  <si>
    <t>po</t>
  </si>
  <si>
    <t>ut</t>
  </si>
  <si>
    <t>st</t>
  </si>
  <si>
    <t>pá</t>
  </si>
  <si>
    <t>út</t>
  </si>
  <si>
    <t>datum</t>
  </si>
  <si>
    <t>den</t>
  </si>
  <si>
    <t>Přehled hovorů v Prosinci 2016</t>
  </si>
  <si>
    <t>Formátování pro VM</t>
  </si>
  <si>
    <t>2. změnit formátování buněk na číslo (pozor - brání se = musí se potvrdit "převést text na číslo")</t>
  </si>
  <si>
    <t>3. dá se seřadit od nejmenšího něbo naopak</t>
  </si>
  <si>
    <t>1. změnit tečky na čárky (=DOSADIT(D2;".";","))</t>
  </si>
  <si>
    <t>ASSP</t>
  </si>
  <si>
    <t>Testy obnovy záloh</t>
  </si>
  <si>
    <t>http://techwiki.brno.qcm.cz/index.php/Postup_%2B_testy_obnovy_z%C3%A1loh</t>
  </si>
  <si>
    <t>Log a postup:</t>
  </si>
  <si>
    <t>Měsíční kontrola záloh:</t>
  </si>
  <si>
    <t>Poznámka:</t>
  </si>
  <si>
    <t>http://techwiki.brno.qcm.cz/index.php/DCB-VM-p%C5%99ehled</t>
  </si>
  <si>
    <t>http://techwiki.brno.qcm.cz/index.php/DCP-VM-p%C5%99ehled</t>
  </si>
  <si>
    <t>Koncepce zálohování DCP - hdd</t>
  </si>
  <si>
    <t>Koncepce zálohování DCB - hdd</t>
  </si>
  <si>
    <t>http://techwiki.brno.qcm.cz/index.php/Z%C3%A1lohov%C3%A1n%C3%AD_BackupPC</t>
  </si>
  <si>
    <t>Koncepce zálohování M-Palác - hdd</t>
  </si>
  <si>
    <t>Dokumentace a postupy</t>
  </si>
  <si>
    <t xml:space="preserve">Pásky DC- log: </t>
  </si>
  <si>
    <t>http://intranet.brno.qcm.cz/technicke/pasky-1</t>
  </si>
  <si>
    <t xml:space="preserve">Pásky - Mpalac log: </t>
  </si>
  <si>
    <t>http://intranet.brno.qcm.cz/technicke/pasky</t>
  </si>
  <si>
    <t>http://techwiki.brno.qcm.cz/index.php/DCB-z%C3%A1lohov%C3%A1n%C3%AD_na_p%C3%A1sky</t>
  </si>
  <si>
    <t>Koncepce zálohování - PÁSKY</t>
  </si>
  <si>
    <t>Log a postup kontrol záloh</t>
  </si>
  <si>
    <t>Sloučení linek M-Palác - projekt</t>
  </si>
  <si>
    <t>http://techwiki.brno.qcm.cz/index.php/Odp%C3%A1r%C3%A1n%C3%AD_linky_GTS_na_MPal%C3%A1ci</t>
  </si>
  <si>
    <t>Upgrade storage - CEPH - projket</t>
  </si>
  <si>
    <t xml:space="preserve">http://techwiki.brno.qcm.cz/index.php/Replikace_Storage </t>
  </si>
  <si>
    <t>Konsolidace ISP linek - M-Palác</t>
  </si>
  <si>
    <t>Revize koncepce zálohování</t>
  </si>
  <si>
    <t>Řízení startů a konců servisních smluv</t>
  </si>
  <si>
    <t>\\xeon\podpora\Společné\Workflow smluv</t>
  </si>
  <si>
    <t>Docházka (plán dovolených)</t>
  </si>
  <si>
    <t>\\xeon\podpora\Společné\Docházka</t>
  </si>
  <si>
    <t>Podklady fakturace</t>
  </si>
  <si>
    <t>\\xeon\podpora\Společné\Servisní smlouvy\Fakturace</t>
  </si>
  <si>
    <t>Matice zastupitelnosti</t>
  </si>
  <si>
    <t>\\xeon\podpora\Společné\Zastupitelnost</t>
  </si>
  <si>
    <t>Aktivní (otevřené) servisky - 2017</t>
  </si>
  <si>
    <t>ROK 2017 - STRATEGICKE AKTIVITY</t>
  </si>
  <si>
    <t>290/23,77%</t>
  </si>
  <si>
    <t>397/32,54%</t>
  </si>
  <si>
    <t>533/43,69%</t>
  </si>
  <si>
    <t>0.02</t>
  </si>
  <si>
    <t>Kachyňa</t>
  </si>
  <si>
    <t>Zákaznické linky - Počet hovorů vyřízených v měsící</t>
  </si>
  <si>
    <t>Zákaznické linky - Počet odpovězených hovorů dle linky</t>
  </si>
  <si>
    <t>Zákaznické linky - Délka hovorů</t>
  </si>
  <si>
    <t>Zákaznické linky - Zmeškané hovory v měsíci</t>
  </si>
  <si>
    <t>\\xeon\provoz\Společné\Zastupitelnost</t>
  </si>
  <si>
    <t>\\xeon\provoz\Společné\Servisní smlouvy\Fakturace</t>
  </si>
  <si>
    <t>\\xeon\provoz\Společné\Docházka</t>
  </si>
  <si>
    <t>\\xeon\provoz\Společné\Workflow smluv</t>
  </si>
  <si>
    <t xml:space="preserve">VIP Smlouvy (kategorie a,b,c) </t>
  </si>
  <si>
    <t>6.1.2017</t>
  </si>
  <si>
    <t>Smlouva prodloužena do 31.12.2017</t>
  </si>
  <si>
    <t>http://vykazy.brno.qcm.cz/index.php?m=project&amp;a=status&amp;id=2237&amp;order=name&amp;page=1</t>
  </si>
  <si>
    <r>
      <t xml:space="preserve">Projekt 2012/621 pokračuje od 1.1.2017 </t>
    </r>
    <r>
      <rPr>
        <b/>
        <sz val="11"/>
        <color theme="1"/>
        <rFont val="Calibri"/>
        <family val="2"/>
        <charset val="238"/>
        <scheme val="minor"/>
      </rPr>
      <t>novou servisní smlouvo</t>
    </r>
    <r>
      <rPr>
        <sz val="11"/>
        <color theme="1"/>
        <rFont val="Calibri"/>
        <family val="2"/>
        <charset val="238"/>
        <scheme val="minor"/>
      </rPr>
      <t xml:space="preserve">u 2016/616 </t>
    </r>
  </si>
  <si>
    <t xml:space="preserve">http://vykazy.brno.qcm.cz/index.php?m=project&amp;order=name&amp;page=1&amp;a=status&amp;id=2803 </t>
  </si>
  <si>
    <t>23.1.2017</t>
  </si>
  <si>
    <r>
      <t xml:space="preserve">Projekt 2016/280 pokračuje </t>
    </r>
    <r>
      <rPr>
        <b/>
        <sz val="11"/>
        <color theme="1"/>
        <rFont val="Calibri"/>
        <family val="2"/>
        <charset val="238"/>
        <scheme val="minor"/>
      </rPr>
      <t>novou smlouvou</t>
    </r>
    <r>
      <rPr>
        <sz val="11"/>
        <color theme="1"/>
        <rFont val="Calibri"/>
        <family val="2"/>
        <charset val="238"/>
        <scheme val="minor"/>
      </rPr>
      <t xml:space="preserve"> od 10.1.</t>
    </r>
  </si>
  <si>
    <t>Bauhaus - servisní smlouva VIP</t>
  </si>
  <si>
    <t>2011/143</t>
  </si>
  <si>
    <t>25.1.2017</t>
  </si>
  <si>
    <t>Konec - výpověď ke dni 31.12.2016</t>
  </si>
  <si>
    <t>http://vykazy.brno.qcm.cz/index.php?m=project&amp;order=name&amp;page=1&amp;a=status&amp;id=2181</t>
  </si>
  <si>
    <t>26.1.2017</t>
  </si>
  <si>
    <t>Rozšíření podpory o modul PUD od 1.1.2017</t>
  </si>
  <si>
    <t>http://vykazy.brno.qcm.cz/index.php?m=project&amp;order=name&amp;page=1&amp;a=status&amp;id=2807</t>
  </si>
  <si>
    <t>31.1.2017</t>
  </si>
  <si>
    <r>
      <t xml:space="preserve">Projekt 2015/309 pokračuje </t>
    </r>
    <r>
      <rPr>
        <b/>
        <sz val="11"/>
        <color theme="1"/>
        <rFont val="Calibri"/>
        <family val="2"/>
        <charset val="238"/>
        <scheme val="minor"/>
      </rPr>
      <t>novou smlouvou</t>
    </r>
    <r>
      <rPr>
        <sz val="11"/>
        <color theme="1"/>
        <rFont val="Calibri"/>
        <family val="2"/>
        <charset val="238"/>
        <scheme val="minor"/>
      </rPr>
      <t xml:space="preserve"> od 1.1. 2017 do 31.12.2018</t>
    </r>
  </si>
  <si>
    <t>http://vykazy.brno.qcm.cz/index.php?m=project&amp;order=name&amp;page=1&amp;a=status&amp;id=4060</t>
  </si>
  <si>
    <r>
      <t xml:space="preserve">Projekt 2012/96 pokračuje </t>
    </r>
    <r>
      <rPr>
        <b/>
        <sz val="11"/>
        <color theme="1"/>
        <rFont val="Calibri"/>
        <family val="2"/>
        <charset val="238"/>
        <scheme val="minor"/>
      </rPr>
      <t>novou smlouvou</t>
    </r>
    <r>
      <rPr>
        <sz val="11"/>
        <color theme="1"/>
        <rFont val="Calibri"/>
        <family val="2"/>
        <charset val="238"/>
        <scheme val="minor"/>
      </rPr>
      <t xml:space="preserve"> 2017/15 od 1.1. 2017 do 31.12.2017</t>
    </r>
  </si>
  <si>
    <t>http://vykazy.brno.qcm.cz/index.php?m=project&amp;a=status&amp;id=2540</t>
  </si>
  <si>
    <r>
      <t xml:space="preserve">Projekt </t>
    </r>
    <r>
      <rPr>
        <b/>
        <sz val="11"/>
        <color theme="1"/>
        <rFont val="Calibri"/>
        <family val="2"/>
        <charset val="238"/>
        <scheme val="minor"/>
      </rPr>
      <t xml:space="preserve">prodloužen objednávkou </t>
    </r>
    <r>
      <rPr>
        <sz val="11"/>
        <color theme="1"/>
        <rFont val="Calibri"/>
        <family val="2"/>
        <charset val="238"/>
        <scheme val="minor"/>
      </rPr>
      <t>od 2/2017 do 1/2018</t>
    </r>
  </si>
  <si>
    <t>250/21,1%</t>
  </si>
  <si>
    <t>442/37,3%</t>
  </si>
  <si>
    <t>493/41,6%</t>
  </si>
  <si>
    <t>Uherské Hradiště - WEB - servisní smlouva</t>
  </si>
  <si>
    <t>2016/399</t>
  </si>
  <si>
    <t>S (specialni podmínky)</t>
  </si>
  <si>
    <t>Podklady fakturace + velikosti zákaznických webů</t>
  </si>
  <si>
    <t>web49</t>
  </si>
  <si>
    <t xml:space="preserve">SŽDC - EZAK - servisní smlouva - status projektu </t>
  </si>
  <si>
    <t>10.2.2017</t>
  </si>
  <si>
    <r>
      <t xml:space="preserve">Projekt </t>
    </r>
    <r>
      <rPr>
        <b/>
        <sz val="11"/>
        <color theme="1"/>
        <rFont val="Calibri"/>
        <family val="2"/>
        <charset val="238"/>
        <scheme val="minor"/>
      </rPr>
      <t xml:space="preserve">prodloužen objednávkou </t>
    </r>
    <r>
      <rPr>
        <sz val="11"/>
        <color theme="1"/>
        <rFont val="Calibri"/>
        <family val="2"/>
        <charset val="238"/>
        <scheme val="minor"/>
      </rPr>
      <t>od 1.2.2017 do 28.2.2017</t>
    </r>
  </si>
  <si>
    <t>Rotava - EZAK (ex.OL) - servisní smlouva</t>
  </si>
  <si>
    <t>2017/33</t>
  </si>
  <si>
    <t>10.2017</t>
  </si>
  <si>
    <t>Smlouva na dobu neurčitou od 1.2.2017</t>
  </si>
  <si>
    <r>
      <rPr>
        <b/>
        <sz val="11"/>
        <color theme="1"/>
        <rFont val="Calibri"/>
        <family val="2"/>
        <charset val="238"/>
        <scheme val="minor"/>
      </rPr>
      <t>Dodatek</t>
    </r>
    <r>
      <rPr>
        <sz val="11"/>
        <color theme="1"/>
        <rFont val="Calibri"/>
        <family val="2"/>
        <charset val="238"/>
        <scheme val="minor"/>
      </rPr>
      <t xml:space="preserve"> smlouvy, prodlouženo do 31.12.2020</t>
    </r>
  </si>
  <si>
    <t>Smlouva startuje dle VČ 7.2.2017, fakturace čtvrtletně, do 02/2022</t>
  </si>
  <si>
    <r>
      <t>Projekt prodloužen</t>
    </r>
    <r>
      <rPr>
        <b/>
        <sz val="11"/>
        <color theme="1"/>
        <rFont val="Calibri"/>
        <family val="2"/>
        <charset val="238"/>
        <scheme val="minor"/>
      </rPr>
      <t xml:space="preserve"> novou smlouvou</t>
    </r>
    <r>
      <rPr>
        <sz val="11"/>
        <color theme="1"/>
        <rFont val="Calibri"/>
        <family val="2"/>
        <charset val="238"/>
        <scheme val="minor"/>
      </rPr>
      <t xml:space="preserve"> od 1.1.2017 do 31.12.2017</t>
    </r>
  </si>
  <si>
    <r>
      <rPr>
        <b/>
        <sz val="11"/>
        <color theme="1"/>
        <rFont val="Calibri"/>
        <family val="2"/>
        <charset val="238"/>
        <scheme val="minor"/>
      </rPr>
      <t xml:space="preserve">Dodatek </t>
    </r>
    <r>
      <rPr>
        <sz val="11"/>
        <color theme="1"/>
        <rFont val="Calibri"/>
        <family val="2"/>
        <charset val="238"/>
        <scheme val="minor"/>
      </rPr>
      <t>smlouvy, změna podmínek (navýšena fakturace paušálu z 4 900 Kč a data)</t>
    </r>
  </si>
  <si>
    <t>28.2.2017</t>
  </si>
  <si>
    <r>
      <t xml:space="preserve">Projekt </t>
    </r>
    <r>
      <rPr>
        <b/>
        <sz val="11"/>
        <color theme="1"/>
        <rFont val="Calibri"/>
        <family val="2"/>
        <charset val="238"/>
        <scheme val="minor"/>
      </rPr>
      <t xml:space="preserve">prodloužen objednávkou </t>
    </r>
    <r>
      <rPr>
        <sz val="11"/>
        <color theme="1"/>
        <rFont val="Calibri"/>
        <family val="2"/>
        <charset val="238"/>
        <scheme val="minor"/>
      </rPr>
      <t>od 1.3.2017 do 31.3.2017</t>
    </r>
  </si>
  <si>
    <t>Dodatek smlouvy č.1. Nový tarif a E-Zak jako archiv od 10.2.2017</t>
  </si>
  <si>
    <r>
      <rPr>
        <b/>
        <sz val="11"/>
        <color theme="1"/>
        <rFont val="Calibri"/>
        <family val="2"/>
        <charset val="238"/>
        <scheme val="minor"/>
      </rPr>
      <t>Prodloužení</t>
    </r>
    <r>
      <rPr>
        <sz val="11"/>
        <color theme="1"/>
        <rFont val="Calibri"/>
        <family val="2"/>
        <charset val="238"/>
        <scheme val="minor"/>
      </rPr>
      <t xml:space="preserve"> provozu webu </t>
    </r>
    <r>
      <rPr>
        <b/>
        <sz val="11"/>
        <color theme="1"/>
        <rFont val="Calibri"/>
        <family val="2"/>
        <charset val="238"/>
        <scheme val="minor"/>
      </rPr>
      <t>objednávkou</t>
    </r>
    <r>
      <rPr>
        <sz val="11"/>
        <color theme="1"/>
        <rFont val="Calibri"/>
        <family val="2"/>
        <charset val="238"/>
        <scheme val="minor"/>
      </rPr>
      <t xml:space="preserve"> od 1.1.2017 do 31.12.2017</t>
    </r>
  </si>
  <si>
    <t>http://vykazy.brno.qcm.cz/index.php?m=project&amp;order=name&amp;page=1&amp;a=status&amp;id=4050</t>
  </si>
  <si>
    <t>http://vykazy.brno.qcm.cz/index.php?m=project&amp;a=edit&amp;id=4402</t>
  </si>
  <si>
    <t>http://vykazy.brno.qcm.cz/index.php?m=project&amp;a=status&amp;id=4634</t>
  </si>
  <si>
    <t>http://vykazy.brno.qcm.cz/index.php?m=project&amp;order=name&amp;page=1&amp;a=status&amp;id=4295</t>
  </si>
  <si>
    <t>http://vykazy.brno.qcm.cz/index.php?m=project&amp;order=name&amp;page=1&amp;a=status&amp;id=3368</t>
  </si>
  <si>
    <t>http://vykazy.brno.qcm.cz/index.php?m=project&amp;order=name&amp;page=1&amp;a=status&amp;id=3425</t>
  </si>
  <si>
    <t>http://vykazy.brno.qcm.cz/index.php?m=project&amp;a=status&amp;id=3489&amp;order=name&amp;page=1</t>
  </si>
  <si>
    <t>271/17,4%</t>
  </si>
  <si>
    <t>608/39%</t>
  </si>
  <si>
    <t>680/43,6%</t>
  </si>
  <si>
    <t>Ostrava-jih - EZAK - servisní smlouva</t>
  </si>
  <si>
    <t>2016/424</t>
  </si>
  <si>
    <t>ROPID - EZAK - servisní smlouva</t>
  </si>
  <si>
    <t>2017/60</t>
  </si>
  <si>
    <t>Smlouva na dobu určitou od 20.2.2017 do 19.2.2019</t>
  </si>
  <si>
    <t>Smlouva od 1.4.2017 na dobu neurčitou</t>
  </si>
  <si>
    <t>http://vykazy.brno.qcm.cz/index.php?m=project&amp;a=status&amp;id=4764</t>
  </si>
  <si>
    <t>http://vykazy.brno.qcm.cz/index.php?m=project&amp;a=status&amp;id=4659&amp;order=name&amp;page=1</t>
  </si>
  <si>
    <t>264/19,5%</t>
  </si>
  <si>
    <t>529/39,1%</t>
  </si>
  <si>
    <t>560/41,4%</t>
  </si>
  <si>
    <t>SUKL - WEB - Servisní smlouva</t>
  </si>
  <si>
    <t>zrušeno</t>
  </si>
  <si>
    <t>výpadek linky Faster</t>
  </si>
  <si>
    <t>web51</t>
  </si>
  <si>
    <t>310/19,2%</t>
  </si>
  <si>
    <t>611/37,8%</t>
  </si>
  <si>
    <t>697/43%</t>
  </si>
  <si>
    <t>Praha 8 - EZAK - servisní smlouva</t>
  </si>
  <si>
    <t>ne</t>
  </si>
  <si>
    <t>0.6</t>
  </si>
  <si>
    <t>1x denně v nočních hodinách jako inkrementální záloha. 1x měsíčně kompletní záloha dat a aplikace, včetně obsahu db Obsah záloh bude ukládán na záložní server poskytovatele.</t>
  </si>
  <si>
    <t>měsíčně</t>
  </si>
  <si>
    <t>web.2theta.dev7.qcm.cz</t>
  </si>
  <si>
    <t>3 měsíce od 1 dne následujícího měsíce</t>
  </si>
  <si>
    <t>99.5</t>
  </si>
  <si>
    <t>1x denně v nočních hodinách inkrementální záloha 1x měsíčně kompletní záloha dat a aplikace Objem záloh se nezapočítává do alokovaného diskového prostoru</t>
  </si>
  <si>
    <t>http://web.agados.dev7.qcm.cz</t>
  </si>
  <si>
    <t>6 měsíců od 1 dne následujícího měsíce</t>
  </si>
  <si>
    <t>0.7</t>
  </si>
  <si>
    <t>Zálohování aplikací i dat. Objem zálohy se započítává do alokovaného diskového prostoru</t>
  </si>
  <si>
    <t>https://allotender.dev3-ezak.qcm.cz</t>
  </si>
  <si>
    <t>- jedenkrát denně v nočních hodinách - inkrementální záloha. - jedenkát měsíčně - kompletní záloha dat a aplikace. - obsah ukládat na server dodavatele. - objem záloh nezapočítávat do alokovaného disk. prostoru</t>
  </si>
  <si>
    <t>http://web.amsp.dev7.qcm.cz</t>
  </si>
  <si>
    <t>6 měsíců</t>
  </si>
  <si>
    <t>99.56</t>
  </si>
  <si>
    <t>Zálohování aplikací i dat. Obsah záloh bude ukládán na záložní server poskytovatele. Objem záloh se započítává do alokovaného diskového prostoru.</t>
  </si>
  <si>
    <t>https://bechyne.dev3-ezak.qcm.cz</t>
  </si>
  <si>
    <t>https://benesov.dev3-ezak.qcm.cz</t>
  </si>
  <si>
    <t>https://beroun.dev3-ezak.qcm.cz</t>
  </si>
  <si>
    <t>Zálohování aplikací i dat - Zálohování dat bude probíhat následovně: Jedenkrát denně v nočních hodinách proběhne inkrementální záloha. Jedenkrát měsíčně proběhne kompletní záloha dat a aplikace. Obsah záloh bude ukládán na záložní server dodavatele.</t>
  </si>
  <si>
    <t>měsíc</t>
  </si>
  <si>
    <t>https://olivius.dev3-ezak.qcm.cz</t>
  </si>
  <si>
    <t>3 měsíce</t>
  </si>
  <si>
    <t>https://brno.dev3-ezak.qcm.cz</t>
  </si>
  <si>
    <t>http://web.brnos.dev7.qcm.cz</t>
  </si>
  <si>
    <t>0.9</t>
  </si>
  <si>
    <t>Zálohování aplikací i dat. Obsah záloh bude ukládán na záložní server poskytovatele. Objem záloh se započítává do alokovaného prostoru.</t>
  </si>
  <si>
    <t>https://bvk.dev3-ezak.qcm.cz</t>
  </si>
  <si>
    <t>https://sklepni-ulicky.ccrjm.dev7.qcm.cz/</t>
  </si>
  <si>
    <t>https://cejiza.dev3-ezak.qcm.cz</t>
  </si>
  <si>
    <t>Zálohování aplikací i dat - Zálohování dat bude probíhat následovně: Jedenkrát denně v nočních hodinách proběhne inkrementální záloha. Jedenkrát měsíčně proběhne kompletní záloha dat a aplikace. Obsah záloh bude ukládán na záložní server dodavatele. Objem záloh se nezapočítává do alokovaného diskového prostoru.</t>
  </si>
  <si>
    <t>http://web.cejiza.dev7.qcm.cz</t>
  </si>
  <si>
    <t>Zálohování aplikací i dat. Obsah záloh bude ukládán na záložní server poskytovatele. Objem záloh se počítává do alokovaného diskového prostoru.</t>
  </si>
  <si>
    <t>https://cepro.dev2-ezak.qcm.cz</t>
  </si>
  <si>
    <t>2 měsíce</t>
  </si>
  <si>
    <t>Zálohování aplikací i dat. Obsah záloh bude ukládán na záložní server dodavatele. Objem záloh se započítává do alokovaného diskového prostoru.</t>
  </si>
  <si>
    <t>https://cep.dev3-ezak.qcm.cz</t>
  </si>
  <si>
    <t>https://clipa.dev3-ezak.qcm.cz</t>
  </si>
  <si>
    <t>Obsah záloh bude ukládán na záložní server poskytovatele. Objem záloh se započítává do alokovaného diskovéh prostoru.</t>
  </si>
  <si>
    <t>https://ctrebova.dev3-ezak.qcm.cz</t>
  </si>
  <si>
    <t>https://cah.dev3-ezak.qcm.cz</t>
  </si>
  <si>
    <t>https://ckrumlov.dev3-ezak.qcm.cz</t>
  </si>
  <si>
    <t>https://rozhlas.dev3-ezak.qcm.cz</t>
  </si>
  <si>
    <t>https://ctesin.dev3-ezak.qcm.cz</t>
  </si>
  <si>
    <t>https://cesnet.dev3-ezak.qcm.cz</t>
  </si>
  <si>
    <t>31.2</t>
  </si>
  <si>
    <t>https://cheb.dev3-ezak.qcm.cz</t>
  </si>
  <si>
    <t>https://chotebor.dev3-ezak.qcm.cz</t>
  </si>
  <si>
    <t>Zálohování aplikací i dat. Obsah záloh bude ukládán na záložní server poskytovatele. Objem záloh se započítává do alokovaného diskového prostoru. Zálohy dat se ukládají do jiné lokality, než je produkční server, z důvodu bezpečnosti dat.</t>
  </si>
  <si>
    <t>https://chrudim.dev3-ezak.qcm.cz</t>
  </si>
  <si>
    <t>99.8</t>
  </si>
  <si>
    <t>139.5</t>
  </si>
  <si>
    <t>Zálohování aplikací i dat probíhá 1x za 2 hodiny. Obsah záloh bude ukládán na záložní server poskytovatele. Objem záloh se započítává do alokovaného diskového prostoru.</t>
  </si>
  <si>
    <t>https://cenakhk.dev3-ezak.qcm.cz</t>
  </si>
  <si>
    <t>http://cites.cizp.dev7.qcm.cz/</t>
  </si>
  <si>
    <t>https://cktch.dev3-ezak.qcm.cz</t>
  </si>
  <si>
    <t>http://web.cmzrb.m2-dev.qcm.cz/</t>
  </si>
  <si>
    <t>https://cnb.dev3-ezak.qcm.cz</t>
  </si>
  <si>
    <t>4 měsíce</t>
  </si>
  <si>
    <t>208.2</t>
  </si>
  <si>
    <t>Řádní zálohy aplikací i dat. Obsah záloh bude ukládán na záložní server poskytovatele.</t>
  </si>
  <si>
    <t>https://cnpk.dev3-ezak.qcm.cz</t>
  </si>
  <si>
    <t>http://sguide.consultingplus.dev7.qcm.cz</t>
  </si>
  <si>
    <t>https://csu.dev3-ezak.qcm.cz</t>
  </si>
  <si>
    <t>http://web.cultura.dev7.qcm.cz</t>
  </si>
  <si>
    <t>1 měsíc</t>
  </si>
  <si>
    <t>https://cuni.dev3-ezak.qcm.cz</t>
  </si>
  <si>
    <t>Zálohování aplikací i dat - Zálohování dat bude probíhat následovně: Jedenkrát denně v nočních hodinách proběhne inkrementální záloha. Jedenkrát měsíčně proběhne kompletní záloha dat a aplikace. Obsah záloh bude ukládán na záložní server dodavatele. Objem záloh se započítává do alokovaného diskového prostoru.</t>
  </si>
  <si>
    <t>http://cyrruscf.cyrrus.dev7.qcm.cz</t>
  </si>
  <si>
    <t>https://czu.dev3-ezak.qcm.cz</t>
  </si>
  <si>
    <t>Zálohování aplikací i dat - Zálohování dat bude probíhat následovně: Jedenkrát denně v nočních hodinách proběhne inkrementální záloha na servery objednatele. Jedenkrát měsíčně proběhne kompletní záloha dat a aplikace. Obsah záloh bude ukládán na záložní server objednatale.</t>
  </si>
  <si>
    <t>https://dacice.dev3-ezak.qcm.cz</t>
  </si>
  <si>
    <t>46.6</t>
  </si>
  <si>
    <t>https://decin.dev3-ezak.qcm.cz</t>
  </si>
  <si>
    <t>http://dismas.external.devel.qcm.cz/</t>
  </si>
  <si>
    <t>Zálohování aplikací i dat. Obsah záloh bude ukládán na záložní server poskytovatele. Objem záloh se nezapočítává do alokovaného diskového prostoru.</t>
  </si>
  <si>
    <t>https://dlc.dev3-ezak.qcm.cz</t>
  </si>
  <si>
    <t>https://doksy.dev3-ezak.qcm.cz</t>
  </si>
  <si>
    <t>https://domazlice.dev3-ezak.qcm.cz</t>
  </si>
  <si>
    <t>http://web.dynamica.dev7.qcm.cz/</t>
  </si>
  <si>
    <t>čtvrtletně</t>
  </si>
  <si>
    <t>Zálohování aplikací i dat - Zálohování aplikací i dat bude probíhat následovně - Jedenkrát denně v nočních hodinách inkrementální záloha. Jedenkrát měsíčně kompletní záloha dat a aplikace.Obsah záloh bude ukládán na záložní server dodavatele.</t>
  </si>
  <si>
    <t>http://web.siphv.dev7.qcm.cz</t>
  </si>
  <si>
    <t>čtvrtletně ( 1200 )</t>
  </si>
  <si>
    <t>http://web.elko.dev7.qcm.cz</t>
  </si>
  <si>
    <t>zálohování aplikací i dat - Obsah záloh bude ukládán na záložní server dodavatele. Objem záloh se započítává do alokovaného diskového prostoru</t>
  </si>
  <si>
    <t>https://eru.dev3-ezak.qcm.cz/</t>
  </si>
  <si>
    <t>Průběžné zálohování aplikací i dat - Obsah záloh bude ukládán na záložní server dodavatele. Objem záloh se započítává do alokovaného diskového prostoru</t>
  </si>
  <si>
    <t>http://web.etenders.dev8.qcm.cz/</t>
  </si>
  <si>
    <t>Zálohování aplikací i dat. Obsah záloh bude ukládán na záložní server dodavatele. Objem záloh se nezapočítává do alokovaného diskového prostoru</t>
  </si>
  <si>
    <t>https://eurovision.dev3-ezak.qcm.cz</t>
  </si>
  <si>
    <t>ročně</t>
  </si>
  <si>
    <t>Obsah záloh bude ukládán na záložní server. Objem záloh se započítává do alokovaného diskového prostoru.</t>
  </si>
  <si>
    <t>1x měsíčně</t>
  </si>
  <si>
    <t>https://finservis.dev3-ezak.qcm.cz</t>
  </si>
  <si>
    <t>24 měsíců</t>
  </si>
  <si>
    <t>1x denně v nočních hodinách - inkrementální záloha. 1x měsíčně - kompletní záloha</t>
  </si>
  <si>
    <t>https://fnb.dev3-ezak.qcm.cz</t>
  </si>
  <si>
    <t>1x denně v nočních hodinách - inkrementální záloha. 1x měsíčně - kompletní záloha. Obsah záloh ukládán na záložní server. Objem záloh se započítává do alokovaného prostoru.</t>
  </si>
  <si>
    <t>https://fnusa.dev3-ezak.qcm.cz</t>
  </si>
  <si>
    <t>Obsah záloh ukládán na záložní server. Objem záloh se započítává do alokovaného diskového prostoru.</t>
  </si>
  <si>
    <t>https://frydekm.dev3-ezak.qcm.cz</t>
  </si>
  <si>
    <t>http://web.fscelektro.dev7.qcm.cz/</t>
  </si>
  <si>
    <t>1x denně v nočních hodinách - inkrementální záloha 1x měsíčně - kompletní záloha Obsah záloh ukládán na záložní server dodavatele. Objem záloh se nezapočítává do alokovaného diskového prostoru.</t>
  </si>
  <si>
    <t>http://web.galeos.dev7.qcm.cz</t>
  </si>
  <si>
    <t>http://web.gemma.dev7.qcm.cz/</t>
  </si>
  <si>
    <t>https://gfr.dev3-ezak.qcm.cz</t>
  </si>
  <si>
    <t>Obsah záloh ukládán na záložní server.</t>
  </si>
  <si>
    <t>https://grantikacs.dev3-ezak.qcm.cz</t>
  </si>
  <si>
    <t>http://web.greenmarketing.dev7.qcm.cz/</t>
  </si>
  <si>
    <t>https://grvs.dev3-ezak.qcm.cz/</t>
  </si>
  <si>
    <t>1x denně v nočních hodinách - inkremetnálně 1x měsíčně - kompletní záloha. Obsah záloh ukládán na záložní server. Objem záloh se nezapočítává do alokovaného diskového prostoru.</t>
  </si>
  <si>
    <t>http://web.gubi.dev7.qcm.cz</t>
  </si>
  <si>
    <t>https://muhb.dev3-ezak.qcm.cz</t>
  </si>
  <si>
    <t>https://horazdovice.dev3-ezak.qcm.cz</t>
  </si>
  <si>
    <t>1x denně v nočních hodinách - inkrementální záloha. 1x měsíčně - kompletní záloha. Obsah záloh ukládán na záložní server. Objem dat se započítává do alokovaného diskového prostoru.</t>
  </si>
  <si>
    <t>https://jamu.dev3-ezak.qcm.cz</t>
  </si>
  <si>
    <t>https://jmk.dev3-ezak.qcm.cz</t>
  </si>
  <si>
    <t>https://karlovyvary.dev3-ezak.qcm.cz</t>
  </si>
  <si>
    <t>Obsah záloh ukládán na záložní server</t>
  </si>
  <si>
    <t>https://karvina.dev3-ezak.qcm.cz</t>
  </si>
  <si>
    <t>https://kolin.dev3-ezak.qcm.cz</t>
  </si>
  <si>
    <t>https://kostelecno.dev3-ezak.qcm.cz</t>
  </si>
  <si>
    <t>https://stredocesky-kr.dev3-ezak.qcm.cz</t>
  </si>
  <si>
    <t>https://vysocina.dev3-ezak.qcm.cz</t>
  </si>
  <si>
    <t>https://krnov.dev3-ezak.qcm.cz</t>
  </si>
  <si>
    <t>https://kromeriz.dev3-ezak.qcm.cz</t>
  </si>
  <si>
    <t>Obsah záloh bude ukládán na záložní server. Objem záloh se započítává do alokovaného prostoru.</t>
  </si>
  <si>
    <t>https://kutnahora.dev3-ezak.qcm.cz</t>
  </si>
  <si>
    <t>Obsah záloh bude ukládán na záložní server. Objem záloh se započítává do alokovaného 200 GB diskového prostoru.</t>
  </si>
  <si>
    <t>https://lesycr.dev3-ezak.qcm.cz</t>
  </si>
  <si>
    <t>1x denně v noci - inkrementální záloha 1x měsíčně - kompletní záloha Obsah záloh ukládán na záložní server. Objem záloh se nezapočítává do alokovaného disk.prostoru</t>
  </si>
  <si>
    <t>https://liberec.dev3-ezak.qcm.cz</t>
  </si>
  <si>
    <t>https://litvinov.dev3-ezak.qcm.cz</t>
  </si>
  <si>
    <t>Obsah záloh bude ukládán na záložní server. Objem záloh se započítává do alokovaného disk.prostoru</t>
  </si>
  <si>
    <t>https://lovosice.dev3-ezak.qcm.cz</t>
  </si>
  <si>
    <t>https://marandis.dev3-ezak.qcm.cz</t>
  </si>
  <si>
    <t>https://marianskelazne.dev3-ezak.qcm.cz</t>
  </si>
  <si>
    <t>Obsah záloh ukládán na záložní server. Objem záloh se započítává do alokovaného prostoru.</t>
  </si>
  <si>
    <t>https://mendelu.dev3-ezak.qcm.cz</t>
  </si>
  <si>
    <t>Obsah záloh ukládán na záložní server. Objem záloha se započítává do alokovaného disk. prostoru.</t>
  </si>
  <si>
    <t>https://boskovice.dev3-ezak.qcm.cz</t>
  </si>
  <si>
    <t>http://web.breclav.m2-dev.qcm.cz</t>
  </si>
  <si>
    <t>https://chomutov.dev3-ezak.qcm.cz</t>
  </si>
  <si>
    <t>https://citka.dev3-ezak.qcm.cz</t>
  </si>
  <si>
    <t>Zálohování aplikací i dat. Obsah záloh bude ukládán na záložní server poskytovatele. Objem záloh se započítává do alokovaného diskového prostoru</t>
  </si>
  <si>
    <t>https://odry.dev3-ezak.qcm.cz</t>
  </si>
  <si>
    <t>https://studenka.dev3-ezak.qcm.cz</t>
  </si>
  <si>
    <t>53.9</t>
  </si>
  <si>
    <t>https://mfcr.dev3-ezak.qcm.cz</t>
  </si>
  <si>
    <t>https://mikulov.dev3-ezak.qcm.cz/</t>
  </si>
  <si>
    <t>Zálohování aplikací i dat. Obsah záloh bude ukládán na záložní server dodavatele. Objem záloh se započítává do alokovaného diskového prostoru</t>
  </si>
  <si>
    <t>https://milevsko.dev3-ezak.qcm.cz</t>
  </si>
  <si>
    <t>není</t>
  </si>
  <si>
    <t>Zálohování aplikací i dat - bude probíhat následovně - Jedenkrát denně v nočních hodinách inkrementální záloha. Jedenkrát měsíčně kompletní záloha dat a aplikace.Obsah záloh bude ukládán na záložní server dodavatele.</t>
  </si>
  <si>
    <t>http://web.modletice.dev7.qcm.cz/</t>
  </si>
  <si>
    <t>zálohování aplikací i dat jedenkrát měsíčně - Obsah záloh bude ukládán na záložní server poskytovatele. OFFLINE E-ZAK (archivovaný bez SLA a LA)</t>
  </si>
  <si>
    <t>https://mou.dev3-ezak.qcm.cz/</t>
  </si>
  <si>
    <t>71.4</t>
  </si>
  <si>
    <t>zálohování aplikací i dat - Obsah záloh bude ukládán na záložní server poskytovatele. Objem záloh se započítává do alokovaného diskového prostoru</t>
  </si>
  <si>
    <t>https://mpsv.dev3-ezak.qcm.cz</t>
  </si>
  <si>
    <t>Zálohování aplikací i dat - bude probíhat následovně - Jedenkrát denně v nočních hodinách inkrementální záloha. Jedenkrát měsíčně kompletní záloha dat a aplikace.Obsah záloh bude ukládán na záložní server dodavatele</t>
  </si>
  <si>
    <t>http://web.msmt.dev9.qcm.cz</t>
  </si>
  <si>
    <t>čtvtletně</t>
  </si>
  <si>
    <t>https://mudk.dev3-ezak.qcm.cz/</t>
  </si>
  <si>
    <t>262.8</t>
  </si>
  <si>
    <t>Zálohování aplikací i dat - Zálohování aplikací i dat bude probíhat následovně - Jedenkrát denně v nočních hodinách inkrementální záloha. Jedenkrát měsíčně kompletní záloha dat a aplikace.Obsah záloh bude ukládán na záložní server dodavatele.Objem záloh se započítává do alokovaného diskového prostoru</t>
  </si>
  <si>
    <t>http://muni.dev3-ezak.qcm.cz/</t>
  </si>
  <si>
    <t>66.9</t>
  </si>
  <si>
    <t>zálohování aplikací i dat - Obsah záloh bude ukládán na záložní server Poskytovatele Objem záloh se započítává do alokovaného diskového prostoru</t>
  </si>
  <si>
    <t>270.9</t>
  </si>
  <si>
    <t>Záloha aplikací i dat na serveru poskytovatele. Objem záloh se započítává do alokovaného diskového prostoru.</t>
  </si>
  <si>
    <t>měsíční</t>
  </si>
  <si>
    <t>84.6</t>
  </si>
  <si>
    <t>Záloha na serveru poskytovatele. Objem záloh se započítává do alokovaného diskového prostoru.</t>
  </si>
  <si>
    <t>Záloha aplikací i dat na serveru poskytovatele. Jedenkrát denně v noci inkremnetální záloha. Jedenkrát měsíčně celková záloha. Objem záloh se nezapočítává do alokovaného diskového prostoru.</t>
  </si>
  <si>
    <t>http://vu.nar.dev8.qcm.cz</t>
  </si>
  <si>
    <t>0.3</t>
  </si>
  <si>
    <t>Záloha aplikací i dat na serveru poskytovatele. Jedenkrát denně v noci - inkrementální záloha. Jedenkrát měsíčně - celková záloha. Objem záloh se nezapočítává do alokovaného diskového prostoru.</t>
  </si>
  <si>
    <t>http://web.naviga4.dev7.qcm.cz</t>
  </si>
  <si>
    <t>Záloha na server poskytovatele. Jedenkrát denně v noci - inkrementální záloha. Jedenkrát měsíčně - celková záloha. Objem záloh se nezapočítává do alokovaného prostoru.</t>
  </si>
  <si>
    <t>web.ndbrno.dev7.qcm.cz</t>
  </si>
  <si>
    <t>Průběžné zálohování na serveru poskytovatele. Objem se započítává do alokovaného prostoru.</t>
  </si>
  <si>
    <t>Záloha aplikací i dat na serveru poskytovatele. Objem záloh se započítává do alokovaného prostoru.</t>
  </si>
  <si>
    <t>Záloha aplikací i dat na serveru poskytovatele. Jedenkrát denně v noci - inkrementální záloha. Jedenkrát měsíčně - kompletní záloha. Objem záloh se nezapočítává do alokovaného diskového prostoru.</t>
  </si>
  <si>
    <t>http://web.tisnov.dev7.qcm.cz</t>
  </si>
  <si>
    <t>Záloha aplikací i dat na záložní server poskytovatele. Objem záloh se započítává do alokovaného diskového prostoru.</t>
  </si>
  <si>
    <t>Zálohování aplikací i dat. Obsah záloh ukládat na záložní server poskytovatele. Objem záloh se započítává do alokovaného diskového prostoru.</t>
  </si>
  <si>
    <t>40.7</t>
  </si>
  <si>
    <t>Zálohování aplikací i dat. Jedenkrát denně v nočních hodinách inkrementální záloha. Jedenkrát měsíčně kompletní záloha dat a aplikace. Obsah záloh na záložní server poskytovatele. Objem záloh se nezapočítívá do alokovaného diskového prostoru.</t>
  </si>
  <si>
    <t>Průběžné zálohování aplikací i dat. Obsah záloh bude ukádán na záložní server poskytovatele. Objem záloh se započítávádo alokovaného diskového prostoru.</t>
  </si>
  <si>
    <t>Jedenkrát denně v nočních hodinách inkrementální záloha. Jedenkrát měsíčně kompletní záloha dat a aplikace. Obsah záloh na záložní server dodavatele. Objem záloh se započítáva do alokovaného diskového prostoru.</t>
  </si>
  <si>
    <t>http://vu.orgamet.dev8.qcm.cz/</t>
  </si>
  <si>
    <t>Záloha aplikací i dat. Obsah záloh bude ukládán na záložní server poskytovatele. Objem záloh se započítává do alokovaného diskového prostoru.</t>
  </si>
  <si>
    <t>Obsah záloh bude ukládán na záložní server poskytovate. Objem záloh se započítává do alokovaného diskového prostoru.</t>
  </si>
  <si>
    <t>Obsah záloh na záložním serveru poskytovatele. Objem záloh se započítává do alokovaného diskového prostoru.</t>
  </si>
  <si>
    <t>Obsah záloh bude ukládán na záložní server poskytovatele. Objem záloh se započítává do alokovaného diskového prostoru.</t>
  </si>
  <si>
    <t>Jedenkrát denně v nočních hodinách proběhne inkrementální záloha, Jedenkrát měsíčně proběhne kompletní záloha dat a aplikace. Obsah záloh bude ukládán na záložní server poskytovatele. Objem záloh se započítává do alokovaného diskového prostoru.</t>
  </si>
  <si>
    <t>Jedenkrát denně v nočních hodinách proběhne inkrementální záloha. Jedenkrát měsíčně proběhne kompletní záloha dat a aplikace. Obsah záloh bude ukládán na záložní server dodavatele.</t>
  </si>
  <si>
    <t>53.8</t>
  </si>
  <si>
    <t>Na server poskytovatele. Objem záloh se započítává do alokovaného diskového prostoru.</t>
  </si>
  <si>
    <t>zálohování aplikací i dat. Obsah záloh bude ukládán na záložní server poskytovatele. Obje záloh se započítává do alokovaného diskového prostoru.</t>
  </si>
  <si>
    <t>zálohování aplikací i dat. Obsah záloh bude ukládán na záložní server poskytovatele. Objem záloh se započítává do alokovaného diskového prostoru.</t>
  </si>
  <si>
    <t>http://web.praha17.dev7.qcm.cz/</t>
  </si>
  <si>
    <t>2016/394</t>
  </si>
  <si>
    <t>https://praha8.dev3-ezak.qcm.cz</t>
  </si>
  <si>
    <t>Zálohování aplikací i dat na serveru poskytovatele. Objem záloh se započítává do alokovaného diskového prostoru.</t>
  </si>
  <si>
    <t>Záloha na server dodavatele. Objem záloh se nezapočítává do alokovaného diskového prostoru</t>
  </si>
  <si>
    <t>http://web.realmedia.dev7.qcm.cz/</t>
  </si>
  <si>
    <t>0.2</t>
  </si>
  <si>
    <t>Obsah záloh bude ukládán na záložní server poskytovatele. Objem záloh se započítává do alokovaného diskového pole.</t>
  </si>
  <si>
    <t>149.1</t>
  </si>
  <si>
    <t>Jedenkrát denně v nočních hodinách - inkrementální záloha. Jedenkrát měsíčně - kompletní záloha. Zálohy na serveu poskytovatele</t>
  </si>
  <si>
    <t>http://web.rr-moravskoslezsko.dev7.qcm.cz/</t>
  </si>
  <si>
    <t>Jedenkrát denně v nočních hodinách inkrementální záloha Jedenkrát měsíčně kompletní záloha. Zálohy na server poskytovatele.</t>
  </si>
  <si>
    <t>Jedenkrát denně v nočních hodinách inkrementální záloha. Jedenkrát měsíčně kompletní záloha. Zálohy na server dodavatele</t>
  </si>
  <si>
    <t>39.7</t>
  </si>
  <si>
    <t>Jedenkrát denně v nočních hodinách inkrementální záloha Jedenkrát měsíčně kompletní záloha dat a aplikace,vč obsahu databáze. Zálohy na server dodavatele Objem záloh se nezapočítává do alokovaného diskového prostoru.</t>
  </si>
  <si>
    <t>http://web.rr-severovychod.dev7.qcm.cz</t>
  </si>
  <si>
    <t>Zálohy na server poskytovatele. Objem záloh se započítává do alokovaného diskového prostoru.</t>
  </si>
  <si>
    <t>roční</t>
  </si>
  <si>
    <t>není určena</t>
  </si>
  <si>
    <t>Průběžní záloha. Obsah záloh bude ukládán na server poskytovatele. Objem záloh se započítává do alokovaného diskového prostoru.</t>
  </si>
  <si>
    <t>https://slu.dev2-ezak.qcm.cz/</t>
  </si>
  <si>
    <t>Jedenkrát denně v nočních hodinách inkrementální záloha. Jedenkrát měsíčně proběhne kompletní záloha dat a aplikace. Zálohy dle dodatku počítat do kapacity dat.</t>
  </si>
  <si>
    <t>253.7</t>
  </si>
  <si>
    <t>Záloha aplikací i dat. Obsah záloh ukádat na server poskytovatele. Objem záloh se započítává do alokovaného diskového prostoru.</t>
  </si>
  <si>
    <t>ve smlouvě: zálohování aplikace</t>
  </si>
  <si>
    <t>https://sshr.dev3-ezak.qcm.cz</t>
  </si>
  <si>
    <t>zálohy nejsou uvedeny</t>
  </si>
  <si>
    <t>Zálohování aplikací i dat.Obsah záloh bude ukládán na záložní server dodavatele. Objem záloh se započítává do alokovaného diskového prostoru</t>
  </si>
  <si>
    <t>https://msk.dev3-ezak.qcm.cz</t>
  </si>
  <si>
    <t>Zálohování aplikací i dat -Zálohování aplikací i datbude probíhat následovně - Jedenkrát denně v nočních hodinách inkrementální záloha. Jedenkrát měsíčně kompletní záloha dat a aplikace. Obsah záloh bude ukládán na záložní server dodavatele.</t>
  </si>
  <si>
    <t>http://web.szu.dev7.qcm.cz</t>
  </si>
  <si>
    <t>kvartálně</t>
  </si>
  <si>
    <t>-</t>
  </si>
  <si>
    <t>https://sluknov.dev3-ezak.qcm.cz</t>
  </si>
  <si>
    <t>Zálohování aplikací i dat -Zálohování aplikací i datbude probíhat následovně - Jedenkrát denně v nočních hodinách inkrementální záloha. Jedenkrát měsíčně kompletní záloha dat a aplikace. Obsah záloh bude ukládán na záložní server dodavatele. Objem záloh se započítává do alokovaného diskového prostoru.</t>
  </si>
  <si>
    <t>https://sukl.dev3-ezak.qcm.cz</t>
  </si>
  <si>
    <t>viz poznámka</t>
  </si>
  <si>
    <t>30 dnů objednatel, 6 měsíců poskytovatel</t>
  </si>
  <si>
    <t>https://sumperk.dev3-ezak.qcm.cz</t>
  </si>
  <si>
    <t>Zálohování aplikací i dat. Obsah záloh bude ukládán na záložní server poskytovatele. Objem záloh se započítává do alokovaného diskového</t>
  </si>
  <si>
    <t>https://suspk.dev3-ezak.qcm.cz</t>
  </si>
  <si>
    <t>jednorázově</t>
  </si>
  <si>
    <t>https://svscr.dev3-ezak.qcm.cz</t>
  </si>
  <si>
    <t>https://operatorict.dev3-ezak.qcm.cz</t>
  </si>
  <si>
    <t>SŽDC - EZAK - servisní smlouva 2017</t>
  </si>
  <si>
    <t>2017/142</t>
  </si>
  <si>
    <t>129.7</t>
  </si>
  <si>
    <t>Obsah záloh ukládán na záložní server. Objem záloh se započítává do alokovaného diskové prostoru.</t>
  </si>
  <si>
    <t>https://szdc.dev3-ezak.qcm.cz</t>
  </si>
  <si>
    <t>http://szr.mvcr.dev7.qcm.cz/</t>
  </si>
  <si>
    <t>Zálohování aplikací i dat -Zálohování aplikací i dat bude probíhat následovně - Jedenkrát denně v nočních hodinách inkrementální záloha. Jedenkrát měsíčně kompletní záloha dat a aplikace. Obsah záloh bude ukládán na záložní server dodavatele.</t>
  </si>
  <si>
    <t>https://tachov.dev3-ezak.qcm.cz</t>
  </si>
  <si>
    <t>Zálohování aplikací i dat - Jedenkrát denně v nočních hodinách inkrementální záloha. Jedenkrát měsíčně kompletní záloha dat a aplikace. Obsah záloh bude ukládán na záložní server dodavatele. Objem záloh se nezapočítává do alokovaného diskového prostoru</t>
  </si>
  <si>
    <t>neuvedeno</t>
  </si>
  <si>
    <t>Zálohování aplikací i dat - Jedenkrát denně v nočních hodinách inkrementální záloha. Jedenkrát měsíčně kompletní záloha dat a aplikace. Obsah záloh bude ukládán na záložní server dodavatele. Objem záloh se nezapočítává do alokovaného diskového prostoru.</t>
  </si>
  <si>
    <t>http://intranet.tart.dev7.qcm.cz</t>
  </si>
  <si>
    <t>https://teplice.dev3-ezak.qcm.cz</t>
  </si>
  <si>
    <t>3 měsíců</t>
  </si>
  <si>
    <t>Zálohování aplikací i dat - Jedenkrát denně v nočních hodinách inkrementální záloha. Jedenkrát měsíčně kompletní záloha dat a aplikace.</t>
  </si>
  <si>
    <t>https://trebic.dev3-ezak.qcm.cz</t>
  </si>
  <si>
    <t>https://trebon.dev3-ezak.qcm.cz</t>
  </si>
  <si>
    <t>32.8</t>
  </si>
  <si>
    <t>Průběžné zálohování aplikací i dat. Obsah záloh bude ukládán na záložní server poskytovatele. Objem záloh se započítává do alokovaného diskového prostoru.</t>
  </si>
  <si>
    <t>https://trinec.dev3-ezak.qcm.cz</t>
  </si>
  <si>
    <t>není uvedeno</t>
  </si>
  <si>
    <t>https://trutnov.dev3-ezak.qcm.cz</t>
  </si>
  <si>
    <t>Zálohování aplikací i dat - Jedenkrát denně v nočních hodinách inkrementální záloha. Jedenkrát měsíčně kompletní záloha dat a aplikace. Obsah záloh bude ukládán na záložní server dodavatele. Objem záloh se započítává do alokovaného diskového prostoru.</t>
  </si>
  <si>
    <t>http://web.trutnov.dev7.qcm.cz</t>
  </si>
  <si>
    <t>35.2</t>
  </si>
  <si>
    <t>https://tul.dev3-ezak.qcm.cz</t>
  </si>
  <si>
    <t>https://tnv.dev3-ezak.qcm.cz</t>
  </si>
  <si>
    <t>Zálohování aplikací i dat bude probíhat následovně: Jedenkrát denně v nočních hodinách inkrementální záloha. Jedenkrát měsíčně kompletní záloha dat a aplikace. Obsah záloh bude ukládán na záložní server dodavatele. Objem záloh se započítává do alokovaného diskového prostoru.</t>
  </si>
  <si>
    <t>https://caa.dev3-ezak.qcm.cz</t>
  </si>
  <si>
    <t>není specifikována</t>
  </si>
  <si>
    <t>http://web.ucl.dev7.qcm.cz/</t>
  </si>
  <si>
    <t>https://ujep.dev3-ezak.qcm.cz/</t>
  </si>
  <si>
    <t>https://uhk.dev3-ezak.qcm.cz</t>
  </si>
  <si>
    <t>77.7</t>
  </si>
  <si>
    <t>Zálohování aplikací i dat -Zálohování aplikací i datbude probíhat následovně - Jedenkrát denně v nočních hodinách inkrementální záloha. Jedenkrát měsíčně kompletní záloha dat a aplikace. Obsah záloh bude ukládán na záložní server dodavatele. Objem záloh se započítává do alokovaného diskového prostoru</t>
  </si>
  <si>
    <t>Zálohování aplikací i dat bude probíhat následovně: Jedenkrát denně v nočních hodinách inkrementální záloha. Jedenkrát měsíčně kompletní záloha dat a aplikace. Obsah záloh bude ukládán na záložní server dodavatele. Objem záloh se NEzapočítává do alokovaného diskového prostoru.</t>
  </si>
  <si>
    <t>http://rvkpp.uradvlady.dev8.qcm.cz/</t>
  </si>
  <si>
    <t>https://ustinl.dev3-ezak.qcm.cz</t>
  </si>
  <si>
    <t>https://muuo.dev3-ezak.qcm.cz/</t>
  </si>
  <si>
    <t>https://uvcr.dev3-ezak.qcm.cz</t>
  </si>
  <si>
    <t>https://czechglobe.dev3-ezak.qcm.cz/</t>
  </si>
  <si>
    <t>https://vakmb.dev3-ezak.qcm.cz</t>
  </si>
  <si>
    <t>https://vakpce.dev3-ezak.qcm.cz</t>
  </si>
  <si>
    <t>https://varnsdorf.dev3-ezak.qcm.cz</t>
  </si>
  <si>
    <t>https://vas.dev3-ezak.qcm.cz</t>
  </si>
  <si>
    <t>http://web.vas.dev7.qcm.cz</t>
  </si>
  <si>
    <t>https://vfub.dev3-ezak.qcm.cz</t>
  </si>
  <si>
    <t>Zálohování aplikací i dat bude probíhat následovně: Jedenkrát denně v nočních hodinách inkrementální záloha. Jedenkrát měsíčně kompletní záloha dat a palikace. Obsah záloh bude ukládán na záložní server dodavatele.</t>
  </si>
  <si>
    <t>http://web.vinoenvi.dev7.qcm.cz</t>
  </si>
  <si>
    <t>https://vlasim.dev3-ezak.qcm.cz</t>
  </si>
  <si>
    <t>https://vls.dev3-ezak.qcm.cz</t>
  </si>
  <si>
    <t>https://vakprerov.dev3-ezak.qcm.cz</t>
  </si>
  <si>
    <t>99.85</t>
  </si>
  <si>
    <t>33.8</t>
  </si>
  <si>
    <t>https://vop.dev3-ezak.qcm.cz</t>
  </si>
  <si>
    <t>http://web.vosk.dev7.qcm.cz/</t>
  </si>
  <si>
    <t>https://vrchlabi.dev3-ezak.qcm.cz/</t>
  </si>
  <si>
    <t>VSE - EZAK servisní smlouva</t>
  </si>
  <si>
    <t>2012/743</t>
  </si>
  <si>
    <t>Zálohování aplikací i dat.Obsah záloh bude ukládán na záložní server dodavatele. Objem záloh se započítává do alokovaného diskového prostoru. Jedenkrát denně v nočních hodinách inkrementální záloha. Jedenkrát měsíčně kompletní záloha dat a aplikace.</t>
  </si>
  <si>
    <t>https://vse.dev3-ezak.qcm.cz</t>
  </si>
  <si>
    <t>https://vspj.dev3-ezak.qcm.cz</t>
  </si>
  <si>
    <t>Zálohování aplikací i dat bude probíhat následovně: Jedenkrát denně v nočních hodinách inkrementální záloha. Jedenkrát měsíčně kompletní záloha dat a aplikace. Obsah záloh bude ukládán na záložní server dodavatele.</t>
  </si>
  <si>
    <t>http://web.heatlab.vut.dev7.qcm.cz</t>
  </si>
  <si>
    <t>Vyškov - EZAK - servisní smlouva</t>
  </si>
  <si>
    <t>2012/410</t>
  </si>
  <si>
    <t>https://vyskov.dev3-ezak.qcm.cz</t>
  </si>
  <si>
    <t>C - aktualizovane TS</t>
  </si>
  <si>
    <t>https://zcu.dev3-ezak.qcm.cz</t>
  </si>
  <si>
    <t>Zálohování aplikací i dat bude probíhat následovně: Jedenkrát denně v nočních hodinách inkrementální záloha. Jedenkrát měsíčně kompletní záloha dat a aplikace. Obsah záloh bude ukládán na záložní server dodavatele.Objem záloh se nepočítá do alokovaného diskového prostoru.</t>
  </si>
  <si>
    <t>http://web.scmbd.dev7.qcm.cz</t>
  </si>
  <si>
    <t>https://zdarns.dev3-ezak.qcm.cz</t>
  </si>
  <si>
    <t>https://zubri.dev3-ezak.qcm.cz</t>
  </si>
  <si>
    <t>id projekt (interní kód)</t>
  </si>
  <si>
    <t>platnost smlouvy</t>
  </si>
  <si>
    <t>inflační doložka</t>
  </si>
  <si>
    <t>account</t>
  </si>
  <si>
    <t>SLA - nejkratší doba reakce</t>
  </si>
  <si>
    <t>SLA - podpora dostupná od</t>
  </si>
  <si>
    <t>SLA - podpora dostupná do</t>
  </si>
  <si>
    <t>Požadavky - schválení predem</t>
  </si>
  <si>
    <t>SLA - dostupnost (%)</t>
  </si>
  <si>
    <t>aktuální data</t>
  </si>
  <si>
    <t>zálohy specifikace</t>
  </si>
  <si>
    <t>perioda fakturace</t>
  </si>
  <si>
    <t>smlouva podle vzoru</t>
  </si>
  <si>
    <t>hosting u zákazníka</t>
  </si>
  <si>
    <t>url vývoj</t>
  </si>
  <si>
    <t>výpovědní lhůta</t>
  </si>
  <si>
    <t>konec dle smlouvy</t>
  </si>
  <si>
    <t>náklady na hodinu práce [Kč/h]</t>
  </si>
  <si>
    <t>hosting Kč</t>
  </si>
  <si>
    <t>SUMA</t>
  </si>
  <si>
    <t>zisk</t>
  </si>
  <si>
    <t>ziskovost</t>
  </si>
  <si>
    <t>366/19,4%</t>
  </si>
  <si>
    <t>658/34,8%</t>
  </si>
  <si>
    <t>858/45,4%</t>
  </si>
  <si>
    <t>732 (Školení)</t>
  </si>
  <si>
    <t>8/0,42%</t>
  </si>
  <si>
    <t>server ostrý</t>
  </si>
  <si>
    <t>Zálohy na záložní server, započítávájí se do celkového objemu dat.</t>
  </si>
  <si>
    <t>Měsíční</t>
  </si>
  <si>
    <t>aksalmon.dev3-ezak.qcm.cz</t>
  </si>
  <si>
    <t>http://aukcedreva.woodproject.qcm.cz/</t>
  </si>
  <si>
    <t>Web41</t>
  </si>
  <si>
    <t>http://web.beve.m3-dev.qcm.cz/</t>
  </si>
  <si>
    <t>https://ezak.olivius.cz</t>
  </si>
  <si>
    <t>nehostujeme</t>
  </si>
  <si>
    <t>http://web.consultingplus.dev7.qcm.cz</t>
  </si>
  <si>
    <t>http://web.dicr.dev7.qcm.cz</t>
  </si>
  <si>
    <t>http://krajane.naep.dev7.qcm.cz</t>
  </si>
  <si>
    <t>http://web.mmhk.dev7.qcm.cz</t>
  </si>
  <si>
    <t>1x denně v nočních hodinách - inkrementální záloha. 1x měsíčně - kompletní záloha. Objem záloh se započítává do alokovaného prostoru.</t>
  </si>
  <si>
    <t>http://web.krizport.dev7.qcm.cz/</t>
  </si>
  <si>
    <t>http://web.kutnahora.m2-dev.qcm.cz/</t>
  </si>
  <si>
    <t>1x čtvrtletně</t>
  </si>
  <si>
    <t>web52</t>
  </si>
  <si>
    <t>msmt, msmt-db</t>
  </si>
  <si>
    <t>http://web.mufis.dev7.qcm.cz/</t>
  </si>
  <si>
    <t>https://minzem.dev3-ezak.qcm.cz</t>
  </si>
  <si>
    <t>https://mzp.dev3-ezak.qcm.cz</t>
  </si>
  <si>
    <t>https://nemcb.dev3-ezak.qcm.cz</t>
  </si>
  <si>
    <t>https://tisnov.dev3-ezak.qcm.cz</t>
  </si>
  <si>
    <t>https://nmnm.dev3-ezak.qcm.cz</t>
  </si>
  <si>
    <t>https://novybor.dev3-ezak.qcm.cz</t>
  </si>
  <si>
    <t>https://novyjicin.dev3-ezak.qcm.cz</t>
  </si>
  <si>
    <t>http://web.nuov.dev7.qcm.cz</t>
  </si>
  <si>
    <t>https://nymburk.dev3-ezak.qcm.cz/</t>
  </si>
  <si>
    <t>http://web.oez.dev7.qcm.cz</t>
  </si>
  <si>
    <t>https://opava.dev3-ezak.qcm.cz</t>
  </si>
  <si>
    <t>https://osek.dev3-ezak.qcm.cz</t>
  </si>
  <si>
    <t>https://oslavany.dev3-ezak.qcm.cz</t>
  </si>
  <si>
    <t>https://ostrava.dev3-ezak.qcm.cz</t>
  </si>
  <si>
    <t>https://ostrov.dev3-ezak.qcm.cz</t>
  </si>
  <si>
    <t>https://osu.dev3-ezak.qcm.cz/</t>
  </si>
  <si>
    <t>https://pardubickykraj.dev3-ezak.qcm.cz</t>
  </si>
  <si>
    <t>https://pmdp.dev3-ezak.qcm.cz</t>
  </si>
  <si>
    <t>https://praha12.dev3-ezak.qcm.cz</t>
  </si>
  <si>
    <t>https://praha14.dev3-ezak.qcm.cz</t>
  </si>
  <si>
    <t>https://praha17.dev3-ezak.qcm.cz</t>
  </si>
  <si>
    <t>https://praha20.dev3-ezak.qcm.cz</t>
  </si>
  <si>
    <t>https://praha5.dev3-ezak.qcm.cz/</t>
  </si>
  <si>
    <t>https://prelouc.dev3-ezak.qcm.cz</t>
  </si>
  <si>
    <t>https://ropid.dev3-ezak.qcm.cz</t>
  </si>
  <si>
    <t>https://rpa.dev3-ezak.qcm.cz/</t>
  </si>
  <si>
    <t>https://rumburk.dev3-ezak.qcm.cz</t>
  </si>
  <si>
    <t>https://slapanice.dev3-ezak.qcm.cz</t>
  </si>
  <si>
    <t>https://sokolov.dev3-ezak.qcm.cz</t>
  </si>
  <si>
    <t>https://pacov.dev3-ezak.qcm.cz</t>
  </si>
  <si>
    <t>https://spu.dev3-ezak.qcm.cz</t>
  </si>
  <si>
    <t>web 37</t>
  </si>
  <si>
    <t>web01</t>
  </si>
  <si>
    <t>https://vstab.dev3-ezak.qcm.cz</t>
  </si>
  <si>
    <t>264/22.2%</t>
  </si>
  <si>
    <t>473/39,8%</t>
  </si>
  <si>
    <t>427/35,9%</t>
  </si>
  <si>
    <t>25/2,1%</t>
  </si>
  <si>
    <t xml:space="preserve">MUNI - EZAK - servisní smlouva </t>
  </si>
  <si>
    <t xml:space="preserve">Česká Třebová - EZAK - servisní smlouva </t>
  </si>
  <si>
    <t>web53</t>
  </si>
  <si>
    <t>nespecifikováno</t>
  </si>
  <si>
    <t xml:space="preserve">Dynamica - WEB - servisní smlouva </t>
  </si>
  <si>
    <t>1x denně v nočních hodinách - inkrementální záloha 1x měsíčně - kompletní záloha</t>
  </si>
  <si>
    <t>Kopřivnice - EZAK - servisní smlouva</t>
  </si>
  <si>
    <t>2017/254</t>
  </si>
  <si>
    <t>Obsah záloh ukládán na záložní server poskytovatele. Objem záloh se započítává do alokovaného diskového prostoru.</t>
  </si>
  <si>
    <t>https://koprivnice.dev3-ezak.qcm.cz</t>
  </si>
  <si>
    <t>https://upol.dev3-ezak.qcm.cz</t>
  </si>
  <si>
    <t xml:space="preserve">UTB - WEB - nadpráce </t>
  </si>
  <si>
    <t>271/21,73%</t>
  </si>
  <si>
    <t>690/55.33%</t>
  </si>
  <si>
    <t>237/19,01%</t>
  </si>
  <si>
    <t>49/3,93%</t>
  </si>
  <si>
    <t>web55</t>
  </si>
  <si>
    <t>web58</t>
  </si>
  <si>
    <t>web57</t>
  </si>
  <si>
    <t>web61</t>
  </si>
  <si>
    <t>web56</t>
  </si>
  <si>
    <t>web54</t>
  </si>
  <si>
    <t>web60</t>
  </si>
  <si>
    <t>Zálohování aplikací i dat.</t>
  </si>
  <si>
    <t>server external</t>
  </si>
  <si>
    <t>web59</t>
  </si>
  <si>
    <t>Gemin - fakturace dodavatelů</t>
  </si>
  <si>
    <t>2017/275</t>
  </si>
  <si>
    <t>Nová definice: MW bude řešit v dodatku č.5 Stará definice: Obsah záloh ukládán na záložní server. Objem záloh se započítává do alokovaného diskového prostoru.</t>
  </si>
  <si>
    <t>server allytrade</t>
  </si>
  <si>
    <t>web62</t>
  </si>
  <si>
    <t>https://ceskaposta.dev3-ezak.qcm.cz</t>
  </si>
  <si>
    <t>web 61, web 46 (aukce)</t>
  </si>
  <si>
    <t>server rscz, E-ZAK w51</t>
  </si>
  <si>
    <t>STAPRO s.r.o. (MSK) - EZAK - servisní smlouva</t>
  </si>
  <si>
    <r>
      <t xml:space="preserve">Vykazování </t>
    </r>
    <r>
      <rPr>
        <sz val="11"/>
        <color theme="0"/>
        <rFont val="Calibri"/>
        <family val="2"/>
        <charset val="238"/>
        <scheme val="minor"/>
      </rPr>
      <t>PODPORA</t>
    </r>
    <r>
      <rPr>
        <sz val="11"/>
        <color theme="1"/>
        <rFont val="Calibri"/>
        <family val="2"/>
        <charset val="238"/>
        <scheme val="minor"/>
      </rPr>
      <t xml:space="preserve"> - interní práce/práce pro zákazníka</t>
    </r>
  </si>
  <si>
    <r>
      <t xml:space="preserve">Fakturováno </t>
    </r>
    <r>
      <rPr>
        <sz val="11"/>
        <color theme="1"/>
        <rFont val="Calibri"/>
        <family val="2"/>
        <charset val="238"/>
        <scheme val="minor"/>
      </rPr>
      <t>(z vykázáno)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</si>
  <si>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r>
      <t xml:space="preserve">Čistý zisk servisek </t>
    </r>
    <r>
      <rPr>
        <sz val="11"/>
        <color theme="1"/>
        <rFont val="Calibri"/>
        <family val="2"/>
        <charset val="238"/>
        <scheme val="minor"/>
      </rPr>
      <t>- započítané náklady - paušál z TS</t>
    </r>
  </si>
  <si>
    <r>
      <t xml:space="preserve">Hrubý zisk servisek </t>
    </r>
    <r>
      <rPr>
        <sz val="11"/>
        <color theme="1"/>
        <rFont val="Calibri"/>
        <family val="2"/>
        <charset val="238"/>
        <scheme val="minor"/>
      </rPr>
      <t>- bez nákladů - paušál z TS</t>
    </r>
  </si>
  <si>
    <r>
      <t xml:space="preserve">Servisní projekty - překročené data v GB </t>
    </r>
    <r>
      <rPr>
        <sz val="11"/>
        <color rgb="FFFF0000"/>
        <rFont val="Calibri"/>
        <family val="2"/>
        <charset val="238"/>
        <scheme val="minor"/>
      </rPr>
      <t>(neúčtované)</t>
    </r>
  </si>
  <si>
    <t>Krajská nemocnice Liberec, a.s. - EZAK - Servisní smlouva</t>
  </si>
  <si>
    <t>2017/302</t>
  </si>
  <si>
    <t>Zálohování aplikací i dat na záložní server poskytovatele. Objem záloh se započítává do alokovaného diskového prostoru</t>
  </si>
  <si>
    <t>MPO - podpora a rozvoj intranetu - servisní smlouva</t>
  </si>
  <si>
    <t>2017/293</t>
  </si>
  <si>
    <t>Slezák / Šarapatka (738)</t>
  </si>
  <si>
    <t>77/6,91%</t>
  </si>
  <si>
    <t>248/22.26%</t>
  </si>
  <si>
    <t>573/51.44%</t>
  </si>
  <si>
    <t>216/19.39%</t>
  </si>
  <si>
    <t>Výpadk proudu, chyba ve statistikách</t>
  </si>
  <si>
    <t>hotovo</t>
  </si>
  <si>
    <t>Slezák / Šarapatka</t>
  </si>
  <si>
    <t>Překračuje klientů - se zálohami 2x</t>
  </si>
  <si>
    <t>GB překročeno - se zálohami 2x</t>
  </si>
  <si>
    <t>43/3,51%</t>
  </si>
  <si>
    <t>261/21,31%</t>
  </si>
  <si>
    <t>649/52,98%</t>
  </si>
  <si>
    <t>NUKIB - EZAK - servisní smlouva</t>
  </si>
  <si>
    <t>2017/327</t>
  </si>
  <si>
    <t>Záloha aplikací i dat. Obsah záloh bude ukládán na záložní server poskytovatele. Objem záloh se započítává do alokovaného diksového prostoru.</t>
  </si>
  <si>
    <t>https://nukib.dev3-ezak.qcm.cz</t>
  </si>
  <si>
    <t>MW: Web i s námi doporučenou instalací SW je na jejich serverech, předpokládám, že jsme jim dali info, jak si nastavit ty zálohy. Zálohování tedy v rámci servisky neřešíme u nás. Viz ustanovení ze servisky: • Housing serveru je zajištěn objednatelem (Město UH). • Zálohování aplikací i dat - Zálohování dat připravené poskytovatelem při zhotovení webových stránek bude probíhat následovně: Jedenkrát denně v nočních hodinách proběhne inkrementální záloha. Jedenkrát měsíčně proběhne kompletní záloha dat a aplikace. Obsah záloh bude ukládán na záložní server objednatele (Město UH).</t>
  </si>
  <si>
    <t>Petřvald - EZAK - servisní smlouva</t>
  </si>
  <si>
    <t>2017/374</t>
  </si>
  <si>
    <t>https://petrvald.dev3-ezak.qcm.cz</t>
  </si>
  <si>
    <t>229/19,49%</t>
  </si>
  <si>
    <t>674/57,36%</t>
  </si>
  <si>
    <t>220/18,79%</t>
  </si>
  <si>
    <t>52/4,43%</t>
  </si>
  <si>
    <t>UJF - E-ZAK - servisní smlouva</t>
  </si>
  <si>
    <t>2017/391</t>
  </si>
  <si>
    <t>Zálohování aplikací i dat. Obsah záloh na server poskytovatele. Objem záloh se započítává do alokovaného diskového prostoru.</t>
  </si>
  <si>
    <t>https://ujf.dev3-ezak.qcm.cz</t>
  </si>
  <si>
    <t>17/2,21%</t>
  </si>
  <si>
    <t>144/18,7%</t>
  </si>
  <si>
    <t>439/57,01%</t>
  </si>
  <si>
    <t>170/22,08%</t>
  </si>
  <si>
    <t>Dodatek č.4, změna odměny od 1.3.2017</t>
  </si>
  <si>
    <t>APUEN - servisní smlouva</t>
  </si>
  <si>
    <t>2010/290</t>
  </si>
  <si>
    <r>
      <rPr>
        <b/>
        <sz val="11"/>
        <color rgb="FFFF0000"/>
        <rFont val="Calibri"/>
        <family val="2"/>
        <charset val="238"/>
        <scheme val="minor"/>
      </rPr>
      <t>Ukončeno</t>
    </r>
    <r>
      <rPr>
        <sz val="11"/>
        <color theme="1"/>
        <rFont val="Calibri"/>
        <family val="2"/>
        <charset val="238"/>
        <scheme val="minor"/>
      </rPr>
      <t xml:space="preserve"> výpovědí (dohodou) k 31.3.2017</t>
    </r>
  </si>
  <si>
    <r>
      <t>Projekt prodloužen</t>
    </r>
    <r>
      <rPr>
        <b/>
        <sz val="11"/>
        <color theme="1"/>
        <rFont val="Calibri"/>
        <family val="2"/>
        <charset val="238"/>
        <scheme val="minor"/>
      </rPr>
      <t xml:space="preserve"> novou smlouvou</t>
    </r>
    <r>
      <rPr>
        <sz val="11"/>
        <color theme="1"/>
        <rFont val="Calibri"/>
        <family val="2"/>
        <charset val="238"/>
        <scheme val="minor"/>
      </rPr>
      <t xml:space="preserve"> od 1.4.2017 do 31.12.2018</t>
    </r>
  </si>
  <si>
    <t>ČCCR - CzechTourism - WEB - servisní smlouva</t>
  </si>
  <si>
    <t>2013/355</t>
  </si>
  <si>
    <r>
      <rPr>
        <b/>
        <sz val="11"/>
        <color rgb="FFFF0000"/>
        <rFont val="Calibri"/>
        <family val="2"/>
        <charset val="238"/>
        <scheme val="minor"/>
      </rPr>
      <t>Ukončeno</t>
    </r>
    <r>
      <rPr>
        <sz val="11"/>
        <color theme="1"/>
        <rFont val="Calibri"/>
        <family val="2"/>
        <charset val="238"/>
        <scheme val="minor"/>
      </rPr>
      <t xml:space="preserve"> výpovědí zákazníka k 28.2 2017</t>
    </r>
  </si>
  <si>
    <t>Praha 8 - EZAK - servisní smlouva - status projektu</t>
  </si>
  <si>
    <t>Smlouva od 1.5.2017 na dobu neurčitou</t>
  </si>
  <si>
    <t>Projekt se SŽDC pokračuje novou smlouvou a novým projektem od 1.5.2017 do 30.4.2021</t>
  </si>
  <si>
    <t>Dodatek č.1 - snížení paušálu od 1.5.2017</t>
  </si>
  <si>
    <r>
      <t xml:space="preserve">Projekt prodloužen </t>
    </r>
    <r>
      <rPr>
        <b/>
        <sz val="11"/>
        <color theme="1"/>
        <rFont val="Calibri"/>
        <family val="2"/>
        <charset val="238"/>
        <scheme val="minor"/>
      </rPr>
      <t>novou smlouvou</t>
    </r>
    <r>
      <rPr>
        <sz val="11"/>
        <color theme="1"/>
        <rFont val="Calibri"/>
        <family val="2"/>
        <charset val="238"/>
        <scheme val="minor"/>
      </rPr>
      <t xml:space="preserve"> od 1.6.2017 na dobu neurčitou</t>
    </r>
  </si>
  <si>
    <t>Projekt Prodloužen objednávkou od 1.7.17 - 31.12.17</t>
  </si>
  <si>
    <t>Projekt prodloužen dodatkem č.1 smlouvy - změna podmínek</t>
  </si>
  <si>
    <t>Trend Vozíčkářů - WEB - servisní smlouva</t>
  </si>
  <si>
    <t>2010/202</t>
  </si>
  <si>
    <t>Projekt ukončen výpovědí k 30.4.2017</t>
  </si>
  <si>
    <t>Busscher &amp; Hoffmann - WEB - servisní smlouva</t>
  </si>
  <si>
    <t>2009/339</t>
  </si>
  <si>
    <t>Projekt ukončen výpovědí k 30.6.2017</t>
  </si>
  <si>
    <t xml:space="preserve">VLS - EZAK - servisní smlouva </t>
  </si>
  <si>
    <t>Písemná výpověď dorazila, ukončení k 31.5.2017</t>
  </si>
  <si>
    <t>ÚVN Praha - EZAK - servisní smlouva</t>
  </si>
  <si>
    <t>2014/173</t>
  </si>
  <si>
    <t>Projektu ukončen výpovědí</t>
  </si>
  <si>
    <t xml:space="preserve">Nový E-ZAK od 01.07.2017 na dobu neurčitou </t>
  </si>
  <si>
    <t>Autistická škola - WEB - Servisní smlouva</t>
  </si>
  <si>
    <t>2015/371</t>
  </si>
  <si>
    <t>Potvrzeno s MW, ukončujeme</t>
  </si>
  <si>
    <t>Dismas</t>
  </si>
  <si>
    <r>
      <t xml:space="preserve">Web Dismas pokračuje </t>
    </r>
    <r>
      <rPr>
        <b/>
        <sz val="11"/>
        <color theme="1"/>
        <rFont val="Calibri"/>
        <family val="2"/>
        <charset val="238"/>
        <scheme val="minor"/>
      </rPr>
      <t>novou smlouvou</t>
    </r>
    <r>
      <rPr>
        <sz val="11"/>
        <color theme="1"/>
        <rFont val="Calibri"/>
        <family val="2"/>
        <charset val="238"/>
        <scheme val="minor"/>
      </rPr>
      <t xml:space="preserve"> od 1.1.2017</t>
    </r>
  </si>
  <si>
    <t>Dodatek č.5 - UVCR, změna modulů, data, kotnakty.</t>
  </si>
  <si>
    <t>VUT energetický portál - nadpráce</t>
  </si>
  <si>
    <t>2012/635</t>
  </si>
  <si>
    <t>Ukončeno v rámci čištění TS - kostlivci</t>
  </si>
  <si>
    <t xml:space="preserve">FANS eAUKCE na jeden rok - servisní smlouva </t>
  </si>
  <si>
    <t>2015/442</t>
  </si>
  <si>
    <t>GUBI - Timesheets - servisní smlouva</t>
  </si>
  <si>
    <t>2012/530</t>
  </si>
  <si>
    <t>Nový E-ZAK od 12.9.2017 na dobu neurčitou</t>
  </si>
  <si>
    <t>Projekt pokračuje novou smlouvou od 22.9.2017, na dobu určitou 12 měsíců</t>
  </si>
  <si>
    <t>MPO - podpora a rozvoj intranetu</t>
  </si>
  <si>
    <t>Nový projekt platný od září 2017, na dobu neurčitou.</t>
  </si>
  <si>
    <t>Projekt pokračuje novou smlouvou  od 22. 9. 2017, na dobu neurčitou</t>
  </si>
  <si>
    <t>Dodatek č.1 smlouvy, od 1.10.2017</t>
  </si>
  <si>
    <t>Nová servisní smlouva platná od 25.9.2017</t>
  </si>
  <si>
    <t>Hrušovany - WEB - servisní smlouva</t>
  </si>
  <si>
    <t>2008/32</t>
  </si>
  <si>
    <t>Konec výpovědí k 31.8.2017 (přiložena v TS)</t>
  </si>
  <si>
    <t>Dodatek č.1 k servisní smlouvě</t>
  </si>
  <si>
    <r>
      <t xml:space="preserve">E-Zak MŽP má </t>
    </r>
    <r>
      <rPr>
        <b/>
        <sz val="11"/>
        <color theme="1"/>
        <rFont val="Calibri"/>
        <family val="2"/>
        <charset val="238"/>
        <scheme val="minor"/>
      </rPr>
      <t>novou pokračující smlouvu</t>
    </r>
    <r>
      <rPr>
        <sz val="11"/>
        <color theme="1"/>
        <rFont val="Calibri"/>
        <family val="2"/>
        <charset val="238"/>
        <scheme val="minor"/>
      </rPr>
      <t>, nové podmínky</t>
    </r>
  </si>
  <si>
    <t>Dodatek č.2 Změna podmínek. Nově 35GB a nové paušály od 1.1.2018 a pak 1.1.2019</t>
  </si>
  <si>
    <t>dodatek č.1 - změna paušálu, archovní profil od 1.11.2017</t>
  </si>
  <si>
    <t>Nová serviska, fakturace až po realizaci</t>
  </si>
  <si>
    <t>Dodatek č.6 smlouvy - nové moduly a leg. Update</t>
  </si>
  <si>
    <t>Servisní smlouva od 1.12.2017</t>
  </si>
  <si>
    <t>Objednávka na období 1.1.2018 - 30.6.2018</t>
  </si>
  <si>
    <t>G4S Cash Solutions - TECH</t>
  </si>
  <si>
    <t>2008/67</t>
  </si>
  <si>
    <t>Ukončení dohodou k 31.10.2017</t>
  </si>
  <si>
    <t>Čtyřlístek - EZAK - servisní smlouva</t>
  </si>
  <si>
    <t>2018/2</t>
  </si>
  <si>
    <t>Nová servisní smlouva E-ZAK</t>
  </si>
  <si>
    <t>http://vykazy.brno.qcm.cz/index.php?m=project&amp;a=status2017&amp;id=3343</t>
  </si>
  <si>
    <t>http://vykazy.brno.qcm.cz/index.php?m=project&amp;order=name&amp;page=1&amp;a=status&amp;id=1629</t>
  </si>
  <si>
    <t>http://vykazy.brno.qcm.cz/index.php?m=project&amp;a=status&amp;id=3105&amp;order=name&amp;page=1</t>
  </si>
  <si>
    <t>http://vykazy.brno.qcm.cz/index.php?m=project&amp;a=status&amp;id=4629</t>
  </si>
  <si>
    <t>http://vykazy.brno.qcm.cz/index.php?m=project&amp;a=full&amp;id=4846&amp;r=http%3A%2F%2Fvykazy.brno.qcm.cz%2Findex.php%3Fm%3Dproject%26amp%3Ba%3Dstatus2017%26amp%3Bid%3D4846</t>
  </si>
  <si>
    <t>http://vykazy.brno.qcm.cz/index.php?m=project&amp;a=status&amp;id=2543&amp;order=name&amp;page=1</t>
  </si>
  <si>
    <t>vykazy.brno.qcm.cz/index.php?m=project&amp;a=status&amp;id=4586&amp;order=name&amp;page=1</t>
  </si>
  <si>
    <t>http://vykazy.brno.qcm.cz/index.php?m=project&amp;a=full&amp;id=1803</t>
  </si>
  <si>
    <t>http://vykazy.brno.qcm.cz/index.php?m=project&amp;a=full&amp;id=3674</t>
  </si>
  <si>
    <t>http://vykazy.brno.qcm.cz/index.php?m=project&amp;a=status2017&amp;id=1585</t>
  </si>
  <si>
    <t>http://vykazy.brno.qcm.cz/index.php?m=ticket&amp;a=detail&amp;id=48753</t>
  </si>
  <si>
    <t xml:space="preserve">http://vykazy.brno.qcm.cz/index.php?m=project&amp;a=status2017&amp;id=2544 </t>
  </si>
  <si>
    <t>http://vykazy.brno.qcm.cz/index.php?m=project&amp;a=status2017&amp;id=3562</t>
  </si>
  <si>
    <t>http://vykazy.brno.qcm.cz/index.php?m=project&amp;a=status2017&amp;id=4958</t>
  </si>
  <si>
    <t>http://vykazy.brno.qcm.cz/index.php?m=project&amp;a=status2017&amp;id=4122</t>
  </si>
  <si>
    <t>http://vykazy.brno.qcm.cz/index.php?m=project&amp;a=full&amp;id=3639</t>
  </si>
  <si>
    <t>http://vykazy.brno.qcm.cz/index.php?m=project&amp;a=status2017&amp;id=1163</t>
  </si>
  <si>
    <t>http://vykazy.brno.qcm.cz/index.php?m=project&amp;a=status2017&amp;id=5006</t>
  </si>
  <si>
    <t>http://vykazy.brno.qcm.cz/index.php?m=project&amp;a=status2017&amp;id=3680</t>
  </si>
  <si>
    <t>http://vykazy.brno.qcm.cz/index.php?m=project&amp;a=status2017&amp;id=4997</t>
  </si>
  <si>
    <t>http://vykazy.brno.qcm.cz/index.php?m=project&amp;a=status2017&amp;id=4055</t>
  </si>
  <si>
    <t>http://vykazy.brno.qcm.cz/index.php?m=project&amp;a=status2017&amp;id=5031</t>
  </si>
  <si>
    <t>http://vykazy.brno.qcm.cz/index.php?m=project&amp;a=status2017&amp;id=869</t>
  </si>
  <si>
    <t>http://vykazy.brno.qcm.cz/index.php?m=project&amp;a=status2017&amp;id=3227</t>
  </si>
  <si>
    <t>http://vykazy.brno.qcm.cz/index.php?m=project&amp;a=status2017&amp;id=4295</t>
  </si>
  <si>
    <t>http://vykazy.brno.qcm.cz/index.php?m=project&amp;a=status&amp;id=2804&amp;order=name&amp;page=1</t>
  </si>
  <si>
    <t>http://vykazy.brno.qcm.cz/index.php?m=project&amp;a=status2017&amp;id=3446</t>
  </si>
  <si>
    <t>http://vykazy.brno.qcm.cz/index.php?m=project&amp;a=status&amp;id=5078&amp;order=name&amp;page=1</t>
  </si>
  <si>
    <t>http://vykazy.brno.qcm.cz/index.php?m=project&amp;a=status&amp;id=1163&amp;order=name&amp;page=1</t>
  </si>
  <si>
    <t>http://vykazy.brno.qcm.cz/index.php?m=project&amp;a=status&amp;id=5095</t>
  </si>
  <si>
    <t>http://vykazy.brno.qcm.cz/index.php?m=project&amp;a=status&amp;id=1803&amp;order=manager_name&amp;page=1</t>
  </si>
  <si>
    <t>http://vykazy.brno.qcm.cz/index.php?m=project&amp;a=status2017&amp;id=924</t>
  </si>
  <si>
    <t xml:space="preserve">http://vykazy.brno.qcm.cz/index.php?m=project&amp;a=status&amp;id=5115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</si>
</sst>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č_-;\-* #,##0.00\ _K_č_-;_-* &quot;-&quot;??\ _K_č_-;_-@_-"/>
    <numFmt numFmtId="164" formatCode="0.0"/>
    <numFmt numFmtId="165" formatCode="0.0%"/>
    <numFmt numFmtId="166" formatCode="[$-405]General"/>
    <numFmt numFmtId="167" formatCode="_-* #,##0.00,_K_č_-;\-* #,##0.00,_K_č_-;_-* \-??\ _K_č_-;_-@_-"/>
  </numFmts>
  <fonts count="5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 tint="-0.34998626667073579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9"/>
      <color rgb="FF59B339"/>
      <name val="Calibri"/>
      <family val="2"/>
      <charset val="238"/>
      <scheme val="minor"/>
    </font>
    <font>
      <sz val="9"/>
      <color rgb="FF00B0F0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99FF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B05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40404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4"/>
      <color rgb="FFFF000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</font>
    <font>
      <b/>
      <sz val="10"/>
      <color theme="0" tint="-0.499984740745262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0"/>
      <color theme="1" tint="0.499984740745262"/>
      <name val="Calibri"/>
      <family val="2"/>
      <charset val="238"/>
    </font>
    <font>
      <b/>
      <sz val="10"/>
      <color theme="1" tint="0.499984740745262"/>
      <name val="Calibri"/>
      <family val="2"/>
      <charset val="238"/>
    </font>
    <font>
      <u/>
      <sz val="10"/>
      <color theme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theme="0" tint="-0.3499862666707357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99FF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9"/>
      <color rgb="FF59B339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59B339"/>
        <bgColor indexed="64"/>
      </patternFill>
    </fill>
    <fill>
      <gradientFill>
        <stop position="0">
          <color rgb="FF00E6AA"/>
        </stop>
        <stop position="1">
          <color theme="0" tint="-0.1490218817712943"/>
        </stop>
      </gradient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gradientFill>
        <stop position="0">
          <color rgb="FF00B0F0"/>
        </stop>
        <stop position="1">
          <color theme="0" tint="-0.1490218817712943"/>
        </stop>
      </gradientFill>
    </fill>
    <fill>
      <gradientFill>
        <stop position="0">
          <color theme="0" tint="-0.34900967436750391"/>
        </stop>
        <stop position="1">
          <color theme="0" tint="-0.1490218817712943"/>
        </stop>
      </gradientFill>
    </fill>
    <fill>
      <patternFill patternType="solid">
        <fgColor rgb="FFFFFF99"/>
        <bgColor rgb="FFEEECE1"/>
      </patternFill>
    </fill>
    <fill>
      <patternFill patternType="solid">
        <fgColor rgb="FFCCFFCC"/>
        <bgColor rgb="FFD7E4BD"/>
      </patternFill>
    </fill>
    <fill>
      <patternFill patternType="solid">
        <fgColor rgb="FFFFFFCC"/>
        <bgColor rgb="FFEEECE1"/>
      </patternFill>
    </fill>
    <fill>
      <patternFill patternType="solid">
        <fgColor rgb="FFE5FFE5"/>
        <bgColor rgb="FFD7E4BD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CE6F2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rgb="FF99FF99"/>
        <bgColor rgb="FFCCFFCC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E5FFE5"/>
      </patternFill>
    </fill>
    <fill>
      <patternFill patternType="solid">
        <fgColor rgb="FFDBEEF4"/>
        <bgColor rgb="FFDCE6F2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166" fontId="19" fillId="0" borderId="0"/>
    <xf numFmtId="0" fontId="19" fillId="0" borderId="0"/>
    <xf numFmtId="167" fontId="19" fillId="0" borderId="0" applyBorder="0" applyProtection="0"/>
    <xf numFmtId="0" fontId="31" fillId="0" borderId="0" applyBorder="0" applyProtection="0"/>
  </cellStyleXfs>
  <cellXfs count="74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4" xfId="0" applyFont="1" applyBorder="1"/>
    <xf numFmtId="0" fontId="4" fillId="3" borderId="3" xfId="0" applyFont="1" applyFill="1" applyBorder="1"/>
    <xf numFmtId="0" fontId="3" fillId="6" borderId="5" xfId="0" applyFont="1" applyFill="1" applyBorder="1"/>
    <xf numFmtId="0" fontId="3" fillId="7" borderId="5" xfId="0" applyFont="1" applyFill="1" applyBorder="1"/>
    <xf numFmtId="0" fontId="3" fillId="8" borderId="5" xfId="0" applyFont="1" applyFill="1" applyBorder="1"/>
    <xf numFmtId="9" fontId="3" fillId="10" borderId="5" xfId="0" applyNumberFormat="1" applyFont="1" applyFill="1" applyBorder="1"/>
    <xf numFmtId="3" fontId="3" fillId="6" borderId="5" xfId="0" applyNumberFormat="1" applyFont="1" applyFill="1" applyBorder="1"/>
    <xf numFmtId="0" fontId="4" fillId="3" borderId="3" xfId="0" applyFont="1" applyFill="1" applyBorder="1" applyAlignment="1">
      <alignment horizontal="center"/>
    </xf>
    <xf numFmtId="1" fontId="0" fillId="0" borderId="0" xfId="0" applyNumberFormat="1" applyAlignment="1">
      <alignment horizontal="left" indent="1"/>
    </xf>
    <xf numFmtId="0" fontId="3" fillId="7" borderId="6" xfId="0" applyFont="1" applyFill="1" applyBorder="1"/>
    <xf numFmtId="0" fontId="3" fillId="6" borderId="6" xfId="0" applyFont="1" applyFill="1" applyBorder="1"/>
    <xf numFmtId="0" fontId="3" fillId="10" borderId="5" xfId="0" applyFont="1" applyFill="1" applyBorder="1"/>
    <xf numFmtId="43" fontId="0" fillId="0" borderId="0" xfId="2" applyFont="1"/>
    <xf numFmtId="0" fontId="0" fillId="0" borderId="0" xfId="0" applyBorder="1"/>
    <xf numFmtId="0" fontId="4" fillId="0" borderId="4" xfId="0" applyFont="1" applyBorder="1" applyAlignment="1">
      <alignment horizontal="right"/>
    </xf>
    <xf numFmtId="0" fontId="8" fillId="0" borderId="0" xfId="0" applyFont="1" applyFill="1" applyBorder="1" applyAlignment="1">
      <alignment horizontal="left" indent="1"/>
    </xf>
    <xf numFmtId="0" fontId="3" fillId="3" borderId="5" xfId="0" applyFont="1" applyFill="1" applyBorder="1" applyAlignment="1">
      <alignment horizontal="right" indent="1"/>
    </xf>
    <xf numFmtId="0" fontId="4" fillId="0" borderId="10" xfId="0" applyFont="1" applyBorder="1" applyAlignment="1">
      <alignment horizontal="right" indent="1"/>
    </xf>
    <xf numFmtId="0" fontId="4" fillId="3" borderId="11" xfId="0" applyFont="1" applyFill="1" applyBorder="1"/>
    <xf numFmtId="0" fontId="4" fillId="3" borderId="12" xfId="0" applyFont="1" applyFill="1" applyBorder="1" applyAlignment="1">
      <alignment horizontal="right" indent="1"/>
    </xf>
    <xf numFmtId="0" fontId="4" fillId="0" borderId="13" xfId="0" applyFont="1" applyBorder="1"/>
    <xf numFmtId="0" fontId="0" fillId="0" borderId="15" xfId="0" applyBorder="1"/>
    <xf numFmtId="0" fontId="1" fillId="0" borderId="16" xfId="0" applyFont="1" applyBorder="1"/>
    <xf numFmtId="0" fontId="1" fillId="0" borderId="14" xfId="0" applyFont="1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3" fillId="9" borderId="7" xfId="0" applyFont="1" applyFill="1" applyBorder="1"/>
    <xf numFmtId="0" fontId="3" fillId="9" borderId="8" xfId="0" applyFont="1" applyFill="1" applyBorder="1"/>
    <xf numFmtId="0" fontId="3" fillId="9" borderId="9" xfId="0" applyFont="1" applyFill="1" applyBorder="1"/>
    <xf numFmtId="0" fontId="4" fillId="3" borderId="10" xfId="0" applyFont="1" applyFill="1" applyBorder="1"/>
    <xf numFmtId="0" fontId="4" fillId="3" borderId="12" xfId="0" applyFont="1" applyFill="1" applyBorder="1"/>
    <xf numFmtId="0" fontId="4" fillId="3" borderId="20" xfId="0" applyFont="1" applyFill="1" applyBorder="1"/>
    <xf numFmtId="0" fontId="4" fillId="0" borderId="21" xfId="0" applyFont="1" applyBorder="1"/>
    <xf numFmtId="0" fontId="3" fillId="11" borderId="7" xfId="0" applyFont="1" applyFill="1" applyBorder="1"/>
    <xf numFmtId="0" fontId="3" fillId="11" borderId="8" xfId="0" applyFont="1" applyFill="1" applyBorder="1"/>
    <xf numFmtId="0" fontId="5" fillId="11" borderId="8" xfId="0" applyFont="1" applyFill="1" applyBorder="1"/>
    <xf numFmtId="0" fontId="3" fillId="11" borderId="9" xfId="0" applyFont="1" applyFill="1" applyBorder="1"/>
    <xf numFmtId="0" fontId="4" fillId="0" borderId="10" xfId="0" applyFont="1" applyBorder="1"/>
    <xf numFmtId="0" fontId="4" fillId="3" borderId="11" xfId="0" applyFont="1" applyFill="1" applyBorder="1" applyAlignment="1">
      <alignment horizontal="center"/>
    </xf>
    <xf numFmtId="0" fontId="1" fillId="9" borderId="7" xfId="0" applyFont="1" applyFill="1" applyBorder="1"/>
    <xf numFmtId="0" fontId="1" fillId="9" borderId="8" xfId="0" applyFont="1" applyFill="1" applyBorder="1"/>
    <xf numFmtId="0" fontId="1" fillId="9" borderId="9" xfId="0" applyFont="1" applyFill="1" applyBorder="1"/>
    <xf numFmtId="0" fontId="4" fillId="0" borderId="13" xfId="0" applyFont="1" applyBorder="1" applyAlignment="1">
      <alignment horizontal="right"/>
    </xf>
    <xf numFmtId="0" fontId="4" fillId="3" borderId="20" xfId="0" applyFont="1" applyFill="1" applyBorder="1" applyAlignment="1">
      <alignment horizontal="right" indent="1"/>
    </xf>
    <xf numFmtId="0" fontId="4" fillId="0" borderId="21" xfId="0" applyFont="1" applyBorder="1" applyAlignment="1">
      <alignment horizontal="right"/>
    </xf>
    <xf numFmtId="10" fontId="3" fillId="0" borderId="5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 indent="1"/>
    </xf>
    <xf numFmtId="0" fontId="4" fillId="0" borderId="0" xfId="0" applyFont="1" applyBorder="1"/>
    <xf numFmtId="0" fontId="4" fillId="0" borderId="0" xfId="0" applyFont="1" applyFill="1" applyBorder="1"/>
    <xf numFmtId="0" fontId="1" fillId="12" borderId="7" xfId="0" applyFont="1" applyFill="1" applyBorder="1"/>
    <xf numFmtId="0" fontId="1" fillId="12" borderId="8" xfId="0" applyFont="1" applyFill="1" applyBorder="1"/>
    <xf numFmtId="0" fontId="1" fillId="12" borderId="9" xfId="0" applyFont="1" applyFill="1" applyBorder="1"/>
    <xf numFmtId="0" fontId="9" fillId="12" borderId="7" xfId="0" applyFont="1" applyFill="1" applyBorder="1"/>
    <xf numFmtId="0" fontId="9" fillId="12" borderId="8" xfId="0" applyFont="1" applyFill="1" applyBorder="1"/>
    <xf numFmtId="0" fontId="9" fillId="12" borderId="9" xfId="0" applyFont="1" applyFill="1" applyBorder="1"/>
    <xf numFmtId="0" fontId="4" fillId="0" borderId="15" xfId="0" applyFont="1" applyBorder="1"/>
    <xf numFmtId="0" fontId="3" fillId="0" borderId="0" xfId="0" applyFont="1" applyBorder="1"/>
    <xf numFmtId="0" fontId="3" fillId="0" borderId="5" xfId="0" applyFont="1" applyBorder="1" applyAlignment="1">
      <alignment horizontal="right" indent="1"/>
    </xf>
    <xf numFmtId="0" fontId="3" fillId="0" borderId="5" xfId="0" applyFont="1" applyBorder="1"/>
    <xf numFmtId="0" fontId="9" fillId="11" borderId="8" xfId="0" applyFont="1" applyFill="1" applyBorder="1"/>
    <xf numFmtId="0" fontId="9" fillId="9" borderId="8" xfId="0" applyFont="1" applyFill="1" applyBorder="1"/>
    <xf numFmtId="0" fontId="4" fillId="0" borderId="17" xfId="0" applyFont="1" applyFill="1" applyBorder="1" applyAlignment="1">
      <alignment horizontal="left"/>
    </xf>
    <xf numFmtId="0" fontId="3" fillId="0" borderId="17" xfId="0" applyFont="1" applyBorder="1" applyAlignment="1">
      <alignment horizontal="right" indent="1"/>
    </xf>
    <xf numFmtId="0" fontId="3" fillId="0" borderId="14" xfId="0" applyFont="1" applyBorder="1" applyAlignment="1">
      <alignment horizontal="right" indent="1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right" indent="1"/>
    </xf>
    <xf numFmtId="0" fontId="6" fillId="0" borderId="2" xfId="0" applyFont="1" applyBorder="1"/>
    <xf numFmtId="0" fontId="6" fillId="0" borderId="13" xfId="0" applyFont="1" applyBorder="1"/>
    <xf numFmtId="0" fontId="4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" fontId="4" fillId="0" borderId="2" xfId="0" applyNumberFormat="1" applyFont="1" applyFill="1" applyBorder="1"/>
    <xf numFmtId="1" fontId="4" fillId="0" borderId="4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1" fillId="5" borderId="26" xfId="0" applyFont="1" applyFill="1" applyBorder="1"/>
    <xf numFmtId="0" fontId="9" fillId="5" borderId="27" xfId="0" applyFont="1" applyFill="1" applyBorder="1"/>
    <xf numFmtId="0" fontId="1" fillId="5" borderId="27" xfId="0" applyFont="1" applyFill="1" applyBorder="1"/>
    <xf numFmtId="0" fontId="1" fillId="5" borderId="28" xfId="0" applyFont="1" applyFill="1" applyBorder="1"/>
    <xf numFmtId="0" fontId="4" fillId="3" borderId="29" xfId="0" applyFont="1" applyFill="1" applyBorder="1"/>
    <xf numFmtId="0" fontId="4" fillId="3" borderId="3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0" xfId="0" applyFont="1" applyFill="1" applyBorder="1" applyAlignment="1">
      <alignment horizontal="left"/>
    </xf>
    <xf numFmtId="0" fontId="0" fillId="2" borderId="0" xfId="0" applyFill="1" applyAlignment="1">
      <alignment vertical="center"/>
    </xf>
    <xf numFmtId="0" fontId="4" fillId="0" borderId="2" xfId="0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0" fontId="1" fillId="7" borderId="7" xfId="0" applyFont="1" applyFill="1" applyBorder="1"/>
    <xf numFmtId="0" fontId="9" fillId="7" borderId="8" xfId="0" applyFont="1" applyFill="1" applyBorder="1"/>
    <xf numFmtId="0" fontId="1" fillId="7" borderId="8" xfId="0" applyFont="1" applyFill="1" applyBorder="1"/>
    <xf numFmtId="0" fontId="1" fillId="7" borderId="9" xfId="0" applyFont="1" applyFill="1" applyBorder="1"/>
    <xf numFmtId="0" fontId="12" fillId="4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right"/>
    </xf>
    <xf numFmtId="0" fontId="4" fillId="14" borderId="2" xfId="0" applyFont="1" applyFill="1" applyBorder="1" applyAlignment="1">
      <alignment horizontal="center" vertical="center"/>
    </xf>
    <xf numFmtId="0" fontId="4" fillId="3" borderId="31" xfId="0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2" xfId="0" applyFont="1" applyBorder="1"/>
    <xf numFmtId="0" fontId="9" fillId="16" borderId="34" xfId="0" applyFont="1" applyFill="1" applyBorder="1" applyAlignment="1">
      <alignment horizontal="left" indent="1"/>
    </xf>
    <xf numFmtId="0" fontId="0" fillId="16" borderId="35" xfId="0" applyFill="1" applyBorder="1" applyAlignment="1">
      <alignment horizontal="left" indent="1"/>
    </xf>
    <xf numFmtId="0" fontId="4" fillId="3" borderId="3" xfId="0" applyFont="1" applyFill="1" applyBorder="1" applyAlignment="1">
      <alignment horizontal="right"/>
    </xf>
    <xf numFmtId="0" fontId="3" fillId="0" borderId="2" xfId="0" applyFont="1" applyBorder="1"/>
    <xf numFmtId="0" fontId="18" fillId="0" borderId="2" xfId="0" applyFont="1" applyBorder="1"/>
    <xf numFmtId="0" fontId="14" fillId="0" borderId="5" xfId="0" applyFont="1" applyBorder="1" applyAlignment="1">
      <alignment horizontal="center"/>
    </xf>
    <xf numFmtId="0" fontId="3" fillId="0" borderId="14" xfId="0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right" indent="1"/>
    </xf>
    <xf numFmtId="0" fontId="4" fillId="3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0" fillId="0" borderId="2" xfId="0" applyFont="1" applyBorder="1"/>
    <xf numFmtId="0" fontId="24" fillId="3" borderId="34" xfId="0" applyFont="1" applyFill="1" applyBorder="1" applyAlignment="1">
      <alignment horizontal="right"/>
    </xf>
    <xf numFmtId="0" fontId="24" fillId="3" borderId="34" xfId="0" applyFont="1" applyFill="1" applyBorder="1"/>
    <xf numFmtId="0" fontId="24" fillId="3" borderId="36" xfId="0" applyFont="1" applyFill="1" applyBorder="1"/>
    <xf numFmtId="0" fontId="24" fillId="3" borderId="36" xfId="0" applyFont="1" applyFill="1" applyBorder="1" applyAlignment="1">
      <alignment horizontal="right"/>
    </xf>
    <xf numFmtId="0" fontId="24" fillId="3" borderId="35" xfId="0" applyFont="1" applyFill="1" applyBorder="1" applyAlignment="1">
      <alignment horizontal="left"/>
    </xf>
    <xf numFmtId="0" fontId="0" fillId="0" borderId="28" xfId="0" applyBorder="1"/>
    <xf numFmtId="14" fontId="0" fillId="0" borderId="0" xfId="0" applyNumberFormat="1"/>
    <xf numFmtId="0" fontId="0" fillId="0" borderId="30" xfId="0" applyBorder="1"/>
    <xf numFmtId="0" fontId="25" fillId="0" borderId="0" xfId="0" applyFont="1"/>
    <xf numFmtId="0" fontId="0" fillId="0" borderId="30" xfId="0" applyFill="1" applyBorder="1"/>
    <xf numFmtId="0" fontId="7" fillId="0" borderId="0" xfId="0" applyFont="1"/>
    <xf numFmtId="0" fontId="0" fillId="0" borderId="0" xfId="0" applyAlignment="1"/>
    <xf numFmtId="0" fontId="1" fillId="0" borderId="0" xfId="0" applyFont="1" applyAlignment="1">
      <alignment horizontal="left"/>
    </xf>
    <xf numFmtId="3" fontId="4" fillId="0" borderId="2" xfId="0" applyNumberFormat="1" applyFont="1" applyBorder="1" applyAlignment="1">
      <alignment horizontal="center"/>
    </xf>
    <xf numFmtId="3" fontId="26" fillId="0" borderId="2" xfId="0" applyNumberFormat="1" applyFont="1" applyBorder="1" applyAlignment="1">
      <alignment horizontal="left" indent="1"/>
    </xf>
    <xf numFmtId="3" fontId="6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26" fillId="0" borderId="3" xfId="0" applyNumberFormat="1" applyFont="1" applyBorder="1" applyAlignment="1">
      <alignment horizontal="left" indent="1"/>
    </xf>
    <xf numFmtId="3" fontId="4" fillId="0" borderId="47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left" indent="1"/>
    </xf>
    <xf numFmtId="0" fontId="22" fillId="0" borderId="2" xfId="0" applyFont="1" applyBorder="1" applyAlignment="1">
      <alignment horizontal="center"/>
    </xf>
    <xf numFmtId="0" fontId="22" fillId="22" borderId="12" xfId="0" applyFont="1" applyFill="1" applyBorder="1" applyAlignment="1">
      <alignment horizontal="left" indent="1"/>
    </xf>
    <xf numFmtId="0" fontId="22" fillId="24" borderId="12" xfId="0" applyFont="1" applyFill="1" applyBorder="1" applyAlignment="1">
      <alignment horizontal="left" indent="1"/>
    </xf>
    <xf numFmtId="0" fontId="22" fillId="23" borderId="12" xfId="0" applyFont="1" applyFill="1" applyBorder="1" applyAlignment="1">
      <alignment horizontal="left" indent="1"/>
    </xf>
    <xf numFmtId="0" fontId="22" fillId="25" borderId="12" xfId="0" applyFont="1" applyFill="1" applyBorder="1" applyAlignment="1">
      <alignment horizontal="left" indent="1"/>
    </xf>
    <xf numFmtId="0" fontId="22" fillId="27" borderId="12" xfId="0" applyFont="1" applyFill="1" applyBorder="1" applyAlignment="1">
      <alignment horizontal="left" indent="1"/>
    </xf>
    <xf numFmtId="0" fontId="27" fillId="28" borderId="12" xfId="0" applyFont="1" applyFill="1" applyBorder="1" applyAlignment="1">
      <alignment horizontal="left" indent="1"/>
    </xf>
    <xf numFmtId="0" fontId="27" fillId="28" borderId="23" xfId="0" applyFont="1" applyFill="1" applyBorder="1" applyAlignment="1">
      <alignment horizontal="left" indent="1"/>
    </xf>
    <xf numFmtId="3" fontId="0" fillId="0" borderId="24" xfId="0" applyNumberFormat="1" applyBorder="1"/>
    <xf numFmtId="3" fontId="0" fillId="0" borderId="47" xfId="0" applyNumberFormat="1" applyBorder="1"/>
    <xf numFmtId="3" fontId="0" fillId="0" borderId="50" xfId="0" applyNumberFormat="1" applyBorder="1"/>
    <xf numFmtId="0" fontId="22" fillId="22" borderId="54" xfId="0" applyFont="1" applyFill="1" applyBorder="1" applyAlignment="1">
      <alignment horizontal="left" indent="1"/>
    </xf>
    <xf numFmtId="3" fontId="4" fillId="0" borderId="55" xfId="0" applyNumberFormat="1" applyFont="1" applyBorder="1" applyAlignment="1">
      <alignment horizontal="center"/>
    </xf>
    <xf numFmtId="3" fontId="26" fillId="0" borderId="55" xfId="0" applyNumberFormat="1" applyFont="1" applyBorder="1" applyAlignment="1">
      <alignment horizontal="left" indent="1"/>
    </xf>
    <xf numFmtId="0" fontId="22" fillId="24" borderId="23" xfId="0" applyFont="1" applyFill="1" applyBorder="1" applyAlignment="1">
      <alignment horizontal="left" indent="1"/>
    </xf>
    <xf numFmtId="3" fontId="4" fillId="0" borderId="24" xfId="0" applyNumberFormat="1" applyFont="1" applyBorder="1" applyAlignment="1">
      <alignment horizontal="center"/>
    </xf>
    <xf numFmtId="3" fontId="0" fillId="0" borderId="3" xfId="0" applyNumberFormat="1" applyBorder="1"/>
    <xf numFmtId="0" fontId="22" fillId="23" borderId="54" xfId="0" applyFont="1" applyFill="1" applyBorder="1" applyAlignment="1">
      <alignment horizontal="left" indent="1"/>
    </xf>
    <xf numFmtId="0" fontId="22" fillId="25" borderId="23" xfId="0" applyFont="1" applyFill="1" applyBorder="1" applyAlignment="1">
      <alignment horizontal="left" indent="1"/>
    </xf>
    <xf numFmtId="0" fontId="27" fillId="28" borderId="10" xfId="0" applyFont="1" applyFill="1" applyBorder="1" applyAlignment="1">
      <alignment horizontal="left" indent="1"/>
    </xf>
    <xf numFmtId="0" fontId="22" fillId="27" borderId="54" xfId="0" applyFont="1" applyFill="1" applyBorder="1" applyAlignment="1">
      <alignment horizontal="left" indent="1"/>
    </xf>
    <xf numFmtId="3" fontId="0" fillId="0" borderId="55" xfId="0" applyNumberFormat="1" applyBorder="1"/>
    <xf numFmtId="0" fontId="22" fillId="27" borderId="23" xfId="0" applyFont="1" applyFill="1" applyBorder="1" applyAlignment="1">
      <alignment horizontal="left" indent="1"/>
    </xf>
    <xf numFmtId="0" fontId="4" fillId="3" borderId="57" xfId="0" applyFont="1" applyFill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6" fontId="26" fillId="0" borderId="0" xfId="3" applyFont="1"/>
    <xf numFmtId="0" fontId="3" fillId="0" borderId="58" xfId="0" applyFont="1" applyFill="1" applyBorder="1" applyAlignment="1">
      <alignment horizontal="right" indent="1"/>
    </xf>
    <xf numFmtId="0" fontId="3" fillId="0" borderId="59" xfId="0" applyFont="1" applyFill="1" applyBorder="1" applyAlignment="1">
      <alignment horizontal="center" vertical="center"/>
    </xf>
    <xf numFmtId="0" fontId="0" fillId="0" borderId="59" xfId="0" applyBorder="1"/>
    <xf numFmtId="0" fontId="3" fillId="0" borderId="60" xfId="0" applyFont="1" applyFill="1" applyBorder="1" applyAlignment="1">
      <alignment horizontal="right" indent="1"/>
    </xf>
    <xf numFmtId="0" fontId="0" fillId="0" borderId="61" xfId="0" applyBorder="1"/>
    <xf numFmtId="0" fontId="30" fillId="0" borderId="2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3" borderId="5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3" fontId="22" fillId="0" borderId="37" xfId="0" applyNumberFormat="1" applyFont="1" applyBorder="1" applyAlignment="1">
      <alignment horizontal="left" indent="1"/>
    </xf>
    <xf numFmtId="9" fontId="27" fillId="18" borderId="37" xfId="0" applyNumberFormat="1" applyFont="1" applyFill="1" applyBorder="1" applyAlignment="1">
      <alignment horizontal="left" indent="1"/>
    </xf>
    <xf numFmtId="9" fontId="27" fillId="19" borderId="37" xfId="0" applyNumberFormat="1" applyFont="1" applyFill="1" applyBorder="1" applyAlignment="1">
      <alignment horizontal="left" indent="1"/>
    </xf>
    <xf numFmtId="9" fontId="27" fillId="26" borderId="37" xfId="0" applyNumberFormat="1" applyFont="1" applyFill="1" applyBorder="1" applyAlignment="1">
      <alignment horizontal="left" indent="1"/>
    </xf>
    <xf numFmtId="9" fontId="27" fillId="4" borderId="37" xfId="0" applyNumberFormat="1" applyFont="1" applyFill="1" applyBorder="1" applyAlignment="1">
      <alignment horizontal="left" indent="1"/>
    </xf>
    <xf numFmtId="3" fontId="22" fillId="0" borderId="24" xfId="0" applyNumberFormat="1" applyFont="1" applyBorder="1" applyAlignment="1">
      <alignment horizontal="left" indent="1"/>
    </xf>
    <xf numFmtId="3" fontId="3" fillId="6" borderId="63" xfId="0" applyNumberFormat="1" applyFont="1" applyFill="1" applyBorder="1"/>
    <xf numFmtId="0" fontId="0" fillId="2" borderId="2" xfId="0" applyFill="1" applyBorder="1" applyAlignment="1">
      <alignment vertical="center"/>
    </xf>
    <xf numFmtId="0" fontId="26" fillId="0" borderId="0" xfId="0" applyFont="1" applyFill="1" applyBorder="1" applyAlignment="1">
      <alignment horizontal="left"/>
    </xf>
    <xf numFmtId="0" fontId="0" fillId="0" borderId="17" xfId="0" applyBorder="1"/>
    <xf numFmtId="0" fontId="4" fillId="0" borderId="18" xfId="0" applyFont="1" applyBorder="1" applyAlignment="1"/>
    <xf numFmtId="0" fontId="4" fillId="0" borderId="15" xfId="0" applyFont="1" applyBorder="1" applyAlignment="1"/>
    <xf numFmtId="0" fontId="4" fillId="0" borderId="19" xfId="0" applyFont="1" applyBorder="1" applyAlignment="1"/>
    <xf numFmtId="0" fontId="0" fillId="0" borderId="0" xfId="0" applyBorder="1" applyAlignment="1"/>
    <xf numFmtId="0" fontId="3" fillId="0" borderId="15" xfId="0" applyFont="1" applyBorder="1" applyAlignment="1"/>
    <xf numFmtId="0" fontId="3" fillId="0" borderId="15" xfId="0" applyFont="1" applyFill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0" borderId="15" xfId="0" applyFont="1" applyBorder="1"/>
    <xf numFmtId="0" fontId="3" fillId="0" borderId="15" xfId="0" applyFont="1" applyFill="1" applyBorder="1" applyAlignment="1">
      <alignment horizontal="center"/>
    </xf>
    <xf numFmtId="0" fontId="0" fillId="0" borderId="3" xfId="0" applyBorder="1"/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top"/>
    </xf>
    <xf numFmtId="0" fontId="4" fillId="3" borderId="6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right" indent="1"/>
    </xf>
    <xf numFmtId="0" fontId="3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67" xfId="0" applyBorder="1"/>
    <xf numFmtId="0" fontId="8" fillId="0" borderId="67" xfId="0" applyFont="1" applyBorder="1" applyAlignment="1">
      <alignment horizontal="left" vertical="top" wrapText="1"/>
    </xf>
    <xf numFmtId="0" fontId="0" fillId="0" borderId="67" xfId="0" applyBorder="1" applyAlignment="1">
      <alignment horizontal="left"/>
    </xf>
    <xf numFmtId="0" fontId="9" fillId="0" borderId="0" xfId="0" applyFont="1"/>
    <xf numFmtId="0" fontId="12" fillId="4" borderId="5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7" xfId="0" applyFont="1" applyBorder="1" applyAlignment="1">
      <alignment horizontal="left" vertical="top"/>
    </xf>
    <xf numFmtId="0" fontId="12" fillId="4" borderId="6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/>
    </xf>
    <xf numFmtId="0" fontId="1" fillId="13" borderId="22" xfId="0" applyFont="1" applyFill="1" applyBorder="1"/>
    <xf numFmtId="0" fontId="9" fillId="13" borderId="48" xfId="0" applyFont="1" applyFill="1" applyBorder="1"/>
    <xf numFmtId="0" fontId="1" fillId="13" borderId="48" xfId="0" applyFont="1" applyFill="1" applyBorder="1"/>
    <xf numFmtId="0" fontId="1" fillId="13" borderId="49" xfId="0" applyFont="1" applyFill="1" applyBorder="1"/>
    <xf numFmtId="0" fontId="4" fillId="3" borderId="14" xfId="0" applyFont="1" applyFill="1" applyBorder="1"/>
    <xf numFmtId="0" fontId="4" fillId="3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right" indent="1"/>
    </xf>
    <xf numFmtId="0" fontId="4" fillId="15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right" indent="1"/>
    </xf>
    <xf numFmtId="0" fontId="0" fillId="0" borderId="24" xfId="0" applyBorder="1"/>
    <xf numFmtId="0" fontId="3" fillId="0" borderId="24" xfId="0" applyFont="1" applyFill="1" applyBorder="1" applyAlignment="1">
      <alignment horizontal="center" vertical="center"/>
    </xf>
    <xf numFmtId="0" fontId="0" fillId="0" borderId="25" xfId="0" applyBorder="1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72" xfId="0" applyNumberForma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3" borderId="71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72" xfId="0" applyFill="1" applyBorder="1" applyAlignment="1">
      <alignment horizontal="center"/>
    </xf>
    <xf numFmtId="0" fontId="0" fillId="3" borderId="2" xfId="0" applyFill="1" applyBorder="1" applyAlignment="1">
      <alignment horizontal="right" indent="1"/>
    </xf>
    <xf numFmtId="0" fontId="3" fillId="0" borderId="19" xfId="0" applyFont="1" applyBorder="1"/>
    <xf numFmtId="0" fontId="4" fillId="3" borderId="2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32" fillId="0" borderId="2" xfId="0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49" fontId="0" fillId="3" borderId="71" xfId="0" applyNumberFormat="1" applyFill="1" applyBorder="1" applyAlignment="1">
      <alignment horizontal="right"/>
    </xf>
    <xf numFmtId="0" fontId="0" fillId="3" borderId="2" xfId="0" applyNumberFormat="1" applyFill="1" applyBorder="1" applyAlignment="1">
      <alignment horizontal="right" indent="1"/>
    </xf>
    <xf numFmtId="49" fontId="0" fillId="3" borderId="73" xfId="0" applyNumberFormat="1" applyFill="1" applyBorder="1" applyAlignment="1">
      <alignment horizontal="right"/>
    </xf>
    <xf numFmtId="0" fontId="0" fillId="3" borderId="74" xfId="0" applyNumberFormat="1" applyFill="1" applyBorder="1" applyAlignment="1">
      <alignment horizontal="right" indent="1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9" fontId="22" fillId="31" borderId="37" xfId="0" applyNumberFormat="1" applyFont="1" applyFill="1" applyBorder="1" applyAlignment="1">
      <alignment horizontal="left" indent="1"/>
    </xf>
    <xf numFmtId="9" fontId="22" fillId="32" borderId="37" xfId="0" applyNumberFormat="1" applyFont="1" applyFill="1" applyBorder="1" applyAlignment="1">
      <alignment horizontal="left" indent="1"/>
    </xf>
    <xf numFmtId="9" fontId="22" fillId="33" borderId="37" xfId="0" applyNumberFormat="1" applyFont="1" applyFill="1" applyBorder="1" applyAlignment="1">
      <alignment horizontal="left" indent="1"/>
    </xf>
    <xf numFmtId="9" fontId="22" fillId="34" borderId="37" xfId="0" applyNumberFormat="1" applyFont="1" applyFill="1" applyBorder="1" applyAlignment="1">
      <alignment horizontal="left" indent="1"/>
    </xf>
    <xf numFmtId="0" fontId="0" fillId="0" borderId="29" xfId="0" applyBorder="1"/>
    <xf numFmtId="0" fontId="0" fillId="0" borderId="76" xfId="0" applyBorder="1"/>
    <xf numFmtId="0" fontId="0" fillId="0" borderId="77" xfId="0" applyBorder="1"/>
    <xf numFmtId="0" fontId="0" fillId="0" borderId="34" xfId="0" applyBorder="1"/>
    <xf numFmtId="0" fontId="0" fillId="0" borderId="36" xfId="0" applyBorder="1"/>
    <xf numFmtId="0" fontId="0" fillId="0" borderId="35" xfId="0" applyBorder="1"/>
    <xf numFmtId="0" fontId="4" fillId="3" borderId="81" xfId="0" applyFont="1" applyFill="1" applyBorder="1" applyAlignment="1">
      <alignment horizontal="center"/>
    </xf>
    <xf numFmtId="0" fontId="4" fillId="3" borderId="82" xfId="0" applyFont="1" applyFill="1" applyBorder="1" applyAlignment="1">
      <alignment horizontal="center"/>
    </xf>
    <xf numFmtId="0" fontId="0" fillId="30" borderId="83" xfId="0" applyFill="1" applyBorder="1"/>
    <xf numFmtId="0" fontId="0" fillId="30" borderId="0" xfId="0" applyFill="1" applyBorder="1"/>
    <xf numFmtId="0" fontId="0" fillId="30" borderId="84" xfId="0" applyNumberFormat="1" applyFill="1" applyBorder="1"/>
    <xf numFmtId="0" fontId="0" fillId="0" borderId="83" xfId="0" applyBorder="1"/>
    <xf numFmtId="0" fontId="0" fillId="0" borderId="84" xfId="0" applyNumberFormat="1" applyBorder="1"/>
    <xf numFmtId="0" fontId="0" fillId="0" borderId="85" xfId="0" applyBorder="1"/>
    <xf numFmtId="0" fontId="0" fillId="0" borderId="86" xfId="0" applyBorder="1"/>
    <xf numFmtId="0" fontId="0" fillId="0" borderId="87" xfId="0" applyNumberFormat="1" applyBorder="1"/>
    <xf numFmtId="0" fontId="4" fillId="3" borderId="71" xfId="0" applyFont="1" applyFill="1" applyBorder="1" applyAlignment="1">
      <alignment horizontal="center"/>
    </xf>
    <xf numFmtId="0" fontId="29" fillId="0" borderId="71" xfId="0" applyFont="1" applyFill="1" applyBorder="1" applyAlignment="1">
      <alignment horizontal="center"/>
    </xf>
    <xf numFmtId="0" fontId="26" fillId="0" borderId="71" xfId="0" applyFont="1" applyBorder="1" applyAlignment="1">
      <alignment horizontal="center"/>
    </xf>
    <xf numFmtId="0" fontId="32" fillId="0" borderId="71" xfId="0" applyFont="1" applyFill="1" applyBorder="1" applyAlignment="1">
      <alignment horizontal="center"/>
    </xf>
    <xf numFmtId="0" fontId="26" fillId="0" borderId="73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22" fillId="0" borderId="74" xfId="0" applyFont="1" applyBorder="1" applyAlignment="1">
      <alignment horizontal="center"/>
    </xf>
    <xf numFmtId="0" fontId="3" fillId="0" borderId="71" xfId="0" applyFont="1" applyBorder="1" applyAlignment="1">
      <alignment horizontal="center" vertical="top"/>
    </xf>
    <xf numFmtId="0" fontId="3" fillId="0" borderId="71" xfId="0" applyFont="1" applyFill="1" applyBorder="1" applyAlignment="1">
      <alignment horizontal="right" indent="1"/>
    </xf>
    <xf numFmtId="0" fontId="0" fillId="0" borderId="72" xfId="0" applyBorder="1"/>
    <xf numFmtId="0" fontId="0" fillId="0" borderId="71" xfId="0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3" borderId="83" xfId="0" applyFill="1" applyBorder="1"/>
    <xf numFmtId="0" fontId="4" fillId="3" borderId="84" xfId="0" applyFont="1" applyFill="1" applyBorder="1" applyAlignment="1">
      <alignment horizontal="center"/>
    </xf>
    <xf numFmtId="0" fontId="1" fillId="0" borderId="83" xfId="0" applyFont="1" applyBorder="1" applyAlignment="1">
      <alignment horizontal="right"/>
    </xf>
    <xf numFmtId="0" fontId="0" fillId="0" borderId="84" xfId="0" applyBorder="1"/>
    <xf numFmtId="0" fontId="0" fillId="0" borderId="83" xfId="0" applyFont="1" applyBorder="1" applyAlignment="1">
      <alignment horizontal="right" vertical="top"/>
    </xf>
    <xf numFmtId="0" fontId="0" fillId="0" borderId="85" xfId="0" applyFont="1" applyBorder="1" applyAlignment="1">
      <alignment horizontal="right"/>
    </xf>
    <xf numFmtId="0" fontId="0" fillId="0" borderId="83" xfId="0" applyFont="1" applyFill="1" applyBorder="1" applyAlignment="1">
      <alignment horizontal="right"/>
    </xf>
    <xf numFmtId="0" fontId="0" fillId="0" borderId="83" xfId="0" applyFont="1" applyFill="1" applyBorder="1" applyAlignment="1">
      <alignment horizontal="center"/>
    </xf>
    <xf numFmtId="0" fontId="0" fillId="0" borderId="83" xfId="0" applyFont="1" applyBorder="1" applyAlignment="1">
      <alignment horizontal="right"/>
    </xf>
    <xf numFmtId="0" fontId="0" fillId="0" borderId="83" xfId="0" applyBorder="1" applyAlignment="1">
      <alignment horizontal="right"/>
    </xf>
    <xf numFmtId="0" fontId="0" fillId="0" borderId="85" xfId="0" applyBorder="1" applyAlignment="1">
      <alignment horizontal="right"/>
    </xf>
    <xf numFmtId="0" fontId="1" fillId="11" borderId="100" xfId="0" applyFont="1" applyFill="1" applyBorder="1"/>
    <xf numFmtId="0" fontId="9" fillId="11" borderId="101" xfId="0" applyFont="1" applyFill="1" applyBorder="1"/>
    <xf numFmtId="0" fontId="1" fillId="11" borderId="101" xfId="0" applyFont="1" applyFill="1" applyBorder="1"/>
    <xf numFmtId="0" fontId="1" fillId="11" borderId="102" xfId="0" applyFont="1" applyFill="1" applyBorder="1"/>
    <xf numFmtId="0" fontId="4" fillId="3" borderId="103" xfId="0" applyFont="1" applyFill="1" applyBorder="1"/>
    <xf numFmtId="0" fontId="4" fillId="3" borderId="104" xfId="0" applyFont="1" applyFill="1" applyBorder="1" applyAlignment="1">
      <alignment horizontal="center"/>
    </xf>
    <xf numFmtId="0" fontId="3" fillId="0" borderId="83" xfId="0" applyFont="1" applyBorder="1" applyAlignment="1">
      <alignment horizontal="right" indent="1"/>
    </xf>
    <xf numFmtId="0" fontId="4" fillId="0" borderId="84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3" fillId="3" borderId="85" xfId="0" applyFont="1" applyFill="1" applyBorder="1" applyAlignment="1">
      <alignment horizontal="right" indent="1"/>
    </xf>
    <xf numFmtId="0" fontId="3" fillId="3" borderId="86" xfId="0" applyFont="1" applyFill="1" applyBorder="1" applyAlignment="1">
      <alignment horizontal="center"/>
    </xf>
    <xf numFmtId="0" fontId="14" fillId="3" borderId="86" xfId="0" applyFont="1" applyFill="1" applyBorder="1" applyAlignment="1">
      <alignment horizontal="center"/>
    </xf>
    <xf numFmtId="0" fontId="14" fillId="3" borderId="87" xfId="0" applyFont="1" applyFill="1" applyBorder="1" applyAlignment="1">
      <alignment horizontal="center"/>
    </xf>
    <xf numFmtId="0" fontId="3" fillId="0" borderId="97" xfId="0" applyFont="1" applyFill="1" applyBorder="1" applyAlignment="1">
      <alignment horizontal="right" indent="1"/>
    </xf>
    <xf numFmtId="0" fontId="17" fillId="0" borderId="98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/>
    </xf>
    <xf numFmtId="49" fontId="35" fillId="0" borderId="0" xfId="0" applyNumberFormat="1" applyFont="1"/>
    <xf numFmtId="49" fontId="0" fillId="0" borderId="0" xfId="0" applyNumberFormat="1" applyAlignment="1">
      <alignment horizontal="left" indent="1"/>
    </xf>
    <xf numFmtId="49" fontId="0" fillId="0" borderId="30" xfId="0" applyNumberFormat="1" applyBorder="1" applyAlignment="1"/>
    <xf numFmtId="49" fontId="0" fillId="0" borderId="30" xfId="0" applyNumberFormat="1" applyBorder="1" applyAlignment="1">
      <alignment horizontal="left" indent="1"/>
    </xf>
    <xf numFmtId="49" fontId="0" fillId="35" borderId="0" xfId="0" applyNumberFormat="1" applyFill="1" applyAlignment="1">
      <alignment horizontal="left" indent="1"/>
    </xf>
    <xf numFmtId="0" fontId="0" fillId="0" borderId="30" xfId="0" applyBorder="1" applyAlignment="1">
      <alignment horizontal="left" indent="1"/>
    </xf>
    <xf numFmtId="14" fontId="0" fillId="0" borderId="0" xfId="0" applyNumberFormat="1" applyAlignment="1">
      <alignment horizontal="right"/>
    </xf>
    <xf numFmtId="49" fontId="7" fillId="0" borderId="0" xfId="0" applyNumberFormat="1" applyFont="1"/>
    <xf numFmtId="0" fontId="0" fillId="0" borderId="0" xfId="0" applyAlignment="1">
      <alignment horizontal="left" indent="1"/>
    </xf>
    <xf numFmtId="0" fontId="24" fillId="9" borderId="37" xfId="0" applyFont="1" applyFill="1" applyBorder="1" applyAlignment="1">
      <alignment horizontal="left" inden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/>
    </xf>
    <xf numFmtId="0" fontId="2" fillId="2" borderId="0" xfId="1" applyFill="1" applyAlignment="1">
      <alignment vertical="center"/>
    </xf>
    <xf numFmtId="14" fontId="0" fillId="2" borderId="0" xfId="0" applyNumberFormat="1" applyFill="1" applyAlignment="1">
      <alignment vertical="center"/>
    </xf>
    <xf numFmtId="20" fontId="0" fillId="2" borderId="0" xfId="0" applyNumberFormat="1" applyFill="1" applyAlignment="1">
      <alignment vertical="center"/>
    </xf>
    <xf numFmtId="16" fontId="0" fillId="2" borderId="0" xfId="0" applyNumberFormat="1" applyFill="1" applyAlignment="1">
      <alignment vertical="center"/>
    </xf>
    <xf numFmtId="0" fontId="38" fillId="0" borderId="0" xfId="0" applyFont="1"/>
    <xf numFmtId="0" fontId="39" fillId="9" borderId="7" xfId="0" applyFont="1" applyFill="1" applyBorder="1"/>
    <xf numFmtId="0" fontId="40" fillId="9" borderId="8" xfId="0" applyFont="1" applyFill="1" applyBorder="1"/>
    <xf numFmtId="0" fontId="39" fillId="9" borderId="8" xfId="0" applyFont="1" applyFill="1" applyBorder="1"/>
    <xf numFmtId="0" fontId="39" fillId="9" borderId="9" xfId="0" applyFont="1" applyFill="1" applyBorder="1"/>
    <xf numFmtId="0" fontId="41" fillId="9" borderId="7" xfId="0" applyFont="1" applyFill="1" applyBorder="1"/>
    <xf numFmtId="0" fontId="41" fillId="9" borderId="8" xfId="0" applyFont="1" applyFill="1" applyBorder="1"/>
    <xf numFmtId="0" fontId="41" fillId="9" borderId="9" xfId="0" applyFont="1" applyFill="1" applyBorder="1"/>
    <xf numFmtId="0" fontId="42" fillId="3" borderId="10" xfId="0" applyFont="1" applyFill="1" applyBorder="1"/>
    <xf numFmtId="0" fontId="42" fillId="3" borderId="3" xfId="0" applyFont="1" applyFill="1" applyBorder="1"/>
    <xf numFmtId="0" fontId="42" fillId="3" borderId="11" xfId="0" applyFont="1" applyFill="1" applyBorder="1"/>
    <xf numFmtId="0" fontId="42" fillId="3" borderId="3" xfId="0" applyFont="1" applyFill="1" applyBorder="1" applyAlignment="1">
      <alignment horizontal="center"/>
    </xf>
    <xf numFmtId="0" fontId="42" fillId="3" borderId="11" xfId="0" applyFont="1" applyFill="1" applyBorder="1" applyAlignment="1">
      <alignment horizontal="center"/>
    </xf>
    <xf numFmtId="0" fontId="42" fillId="3" borderId="12" xfId="0" applyFont="1" applyFill="1" applyBorder="1"/>
    <xf numFmtId="0" fontId="42" fillId="0" borderId="2" xfId="0" applyFont="1" applyBorder="1"/>
    <xf numFmtId="0" fontId="42" fillId="0" borderId="13" xfId="0" applyFont="1" applyBorder="1"/>
    <xf numFmtId="0" fontId="42" fillId="3" borderId="12" xfId="0" applyFont="1" applyFill="1" applyBorder="1" applyAlignment="1">
      <alignment horizontal="right" indent="1"/>
    </xf>
    <xf numFmtId="0" fontId="42" fillId="0" borderId="2" xfId="0" applyFont="1" applyFill="1" applyBorder="1" applyAlignment="1">
      <alignment horizontal="right"/>
    </xf>
    <xf numFmtId="0" fontId="42" fillId="0" borderId="2" xfId="0" applyFont="1" applyBorder="1" applyAlignment="1">
      <alignment horizontal="right"/>
    </xf>
    <xf numFmtId="0" fontId="42" fillId="0" borderId="13" xfId="0" applyFont="1" applyBorder="1" applyAlignment="1">
      <alignment horizontal="right"/>
    </xf>
    <xf numFmtId="1" fontId="42" fillId="0" borderId="2" xfId="0" applyNumberFormat="1" applyFont="1" applyBorder="1" applyAlignment="1">
      <alignment horizontal="right"/>
    </xf>
    <xf numFmtId="0" fontId="42" fillId="3" borderId="20" xfId="0" applyFont="1" applyFill="1" applyBorder="1" applyAlignment="1">
      <alignment horizontal="right" indent="1"/>
    </xf>
    <xf numFmtId="1" fontId="42" fillId="0" borderId="4" xfId="0" applyNumberFormat="1" applyFont="1" applyFill="1" applyBorder="1" applyAlignment="1">
      <alignment horizontal="right"/>
    </xf>
    <xf numFmtId="0" fontId="42" fillId="0" borderId="4" xfId="0" applyFont="1" applyBorder="1" applyAlignment="1">
      <alignment horizontal="right"/>
    </xf>
    <xf numFmtId="0" fontId="42" fillId="0" borderId="21" xfId="0" applyFont="1" applyBorder="1" applyAlignment="1">
      <alignment horizontal="right"/>
    </xf>
    <xf numFmtId="0" fontId="43" fillId="0" borderId="4" xfId="0" applyFont="1" applyFill="1" applyBorder="1" applyAlignment="1">
      <alignment horizontal="right"/>
    </xf>
    <xf numFmtId="0" fontId="39" fillId="3" borderId="5" xfId="0" applyFont="1" applyFill="1" applyBorder="1" applyAlignment="1">
      <alignment horizontal="right" indent="1"/>
    </xf>
    <xf numFmtId="165" fontId="39" fillId="0" borderId="5" xfId="0" applyNumberFormat="1" applyFont="1" applyBorder="1" applyAlignment="1">
      <alignment horizontal="right"/>
    </xf>
    <xf numFmtId="0" fontId="42" fillId="0" borderId="14" xfId="0" applyFont="1" applyFill="1" applyBorder="1" applyAlignment="1">
      <alignment horizontal="left"/>
    </xf>
    <xf numFmtId="0" fontId="38" fillId="0" borderId="0" xfId="0" applyFont="1" applyAlignment="1">
      <alignment horizontal="center"/>
    </xf>
    <xf numFmtId="0" fontId="39" fillId="7" borderId="6" xfId="0" applyFont="1" applyFill="1" applyBorder="1"/>
    <xf numFmtId="0" fontId="39" fillId="6" borderId="6" xfId="0" applyFont="1" applyFill="1" applyBorder="1"/>
    <xf numFmtId="0" fontId="39" fillId="8" borderId="5" xfId="0" applyFont="1" applyFill="1" applyBorder="1"/>
    <xf numFmtId="0" fontId="39" fillId="10" borderId="5" xfId="0" applyFont="1" applyFill="1" applyBorder="1"/>
    <xf numFmtId="166" fontId="44" fillId="0" borderId="0" xfId="3" applyFont="1"/>
    <xf numFmtId="0" fontId="42" fillId="0" borderId="0" xfId="0" applyFont="1"/>
    <xf numFmtId="0" fontId="39" fillId="11" borderId="7" xfId="0" applyFont="1" applyFill="1" applyBorder="1"/>
    <xf numFmtId="0" fontId="40" fillId="11" borderId="8" xfId="0" applyFont="1" applyFill="1" applyBorder="1"/>
    <xf numFmtId="0" fontId="39" fillId="11" borderId="8" xfId="0" applyFont="1" applyFill="1" applyBorder="1"/>
    <xf numFmtId="0" fontId="45" fillId="11" borderId="8" xfId="0" applyFont="1" applyFill="1" applyBorder="1"/>
    <xf numFmtId="0" fontId="39" fillId="11" borderId="9" xfId="0" applyFont="1" applyFill="1" applyBorder="1"/>
    <xf numFmtId="43" fontId="38" fillId="0" borderId="0" xfId="2" applyFont="1"/>
    <xf numFmtId="0" fontId="39" fillId="7" borderId="5" xfId="0" applyFont="1" applyFill="1" applyBorder="1"/>
    <xf numFmtId="0" fontId="39" fillId="6" borderId="5" xfId="0" applyFont="1" applyFill="1" applyBorder="1"/>
    <xf numFmtId="9" fontId="39" fillId="10" borderId="5" xfId="0" applyNumberFormat="1" applyFont="1" applyFill="1" applyBorder="1"/>
    <xf numFmtId="10" fontId="39" fillId="0" borderId="5" xfId="0" applyNumberFormat="1" applyFont="1" applyBorder="1" applyAlignment="1">
      <alignment horizontal="right"/>
    </xf>
    <xf numFmtId="0" fontId="39" fillId="0" borderId="5" xfId="0" applyFont="1" applyBorder="1" applyAlignment="1">
      <alignment horizontal="right"/>
    </xf>
    <xf numFmtId="0" fontId="46" fillId="0" borderId="0" xfId="0" applyFont="1" applyFill="1" applyBorder="1" applyAlignment="1">
      <alignment horizontal="left" indent="1"/>
    </xf>
    <xf numFmtId="0" fontId="38" fillId="0" borderId="0" xfId="0" applyFont="1" applyAlignment="1">
      <alignment vertical="center" wrapText="1"/>
    </xf>
    <xf numFmtId="0" fontId="38" fillId="2" borderId="0" xfId="0" applyFont="1" applyFill="1" applyAlignment="1">
      <alignment vertical="center"/>
    </xf>
    <xf numFmtId="0" fontId="41" fillId="7" borderId="7" xfId="0" applyFont="1" applyFill="1" applyBorder="1"/>
    <xf numFmtId="0" fontId="40" fillId="7" borderId="8" xfId="0" applyFont="1" applyFill="1" applyBorder="1"/>
    <xf numFmtId="0" fontId="41" fillId="7" borderId="8" xfId="0" applyFont="1" applyFill="1" applyBorder="1"/>
    <xf numFmtId="0" fontId="41" fillId="7" borderId="9" xfId="0" applyFont="1" applyFill="1" applyBorder="1"/>
    <xf numFmtId="0" fontId="42" fillId="0" borderId="14" xfId="0" applyFont="1" applyBorder="1" applyAlignment="1">
      <alignment horizontal="right" indent="1"/>
    </xf>
    <xf numFmtId="0" fontId="42" fillId="0" borderId="0" xfId="0" applyFont="1" applyBorder="1"/>
    <xf numFmtId="0" fontId="42" fillId="0" borderId="15" xfId="0" applyFont="1" applyBorder="1"/>
    <xf numFmtId="0" fontId="42" fillId="0" borderId="0" xfId="0" applyFont="1" applyFill="1" applyBorder="1"/>
    <xf numFmtId="3" fontId="39" fillId="6" borderId="5" xfId="0" applyNumberFormat="1" applyFont="1" applyFill="1" applyBorder="1"/>
    <xf numFmtId="0" fontId="39" fillId="9" borderId="100" xfId="0" applyFont="1" applyFill="1" applyBorder="1"/>
    <xf numFmtId="0" fontId="40" fillId="9" borderId="101" xfId="0" applyFont="1" applyFill="1" applyBorder="1"/>
    <xf numFmtId="0" fontId="39" fillId="9" borderId="101" xfId="0" applyFont="1" applyFill="1" applyBorder="1"/>
    <xf numFmtId="0" fontId="39" fillId="9" borderId="102" xfId="0" applyFont="1" applyFill="1" applyBorder="1"/>
    <xf numFmtId="0" fontId="42" fillId="0" borderId="103" xfId="0" applyFont="1" applyBorder="1"/>
    <xf numFmtId="0" fontId="42" fillId="3" borderId="104" xfId="0" applyFont="1" applyFill="1" applyBorder="1"/>
    <xf numFmtId="0" fontId="39" fillId="0" borderId="0" xfId="0" applyFont="1" applyBorder="1"/>
    <xf numFmtId="0" fontId="42" fillId="3" borderId="71" xfId="0" applyFont="1" applyFill="1" applyBorder="1"/>
    <xf numFmtId="0" fontId="38" fillId="0" borderId="2" xfId="0" applyFont="1" applyBorder="1"/>
    <xf numFmtId="0" fontId="38" fillId="0" borderId="84" xfId="0" applyFont="1" applyBorder="1"/>
    <xf numFmtId="0" fontId="38" fillId="2" borderId="2" xfId="0" applyFont="1" applyFill="1" applyBorder="1" applyAlignment="1">
      <alignment vertical="center"/>
    </xf>
    <xf numFmtId="0" fontId="42" fillId="0" borderId="72" xfId="0" applyFont="1" applyBorder="1"/>
    <xf numFmtId="0" fontId="39" fillId="0" borderId="5" xfId="0" applyFont="1" applyBorder="1" applyAlignment="1">
      <alignment horizontal="right" indent="1"/>
    </xf>
    <xf numFmtId="0" fontId="39" fillId="0" borderId="5" xfId="0" applyFont="1" applyBorder="1"/>
    <xf numFmtId="0" fontId="38" fillId="2" borderId="84" xfId="0" applyFont="1" applyFill="1" applyBorder="1" applyAlignment="1">
      <alignment vertical="center"/>
    </xf>
    <xf numFmtId="1" fontId="42" fillId="0" borderId="2" xfId="0" applyNumberFormat="1" applyFont="1" applyFill="1" applyBorder="1"/>
    <xf numFmtId="0" fontId="38" fillId="2" borderId="0" xfId="0" applyFont="1" applyFill="1" applyBorder="1" applyAlignment="1">
      <alignment vertical="center"/>
    </xf>
    <xf numFmtId="0" fontId="39" fillId="0" borderId="17" xfId="0" applyFont="1" applyBorder="1" applyAlignment="1">
      <alignment horizontal="right" indent="1"/>
    </xf>
    <xf numFmtId="0" fontId="39" fillId="0" borderId="18" xfId="0" applyFont="1" applyBorder="1" applyAlignment="1">
      <alignment horizontal="center"/>
    </xf>
    <xf numFmtId="0" fontId="39" fillId="0" borderId="18" xfId="0" applyFont="1" applyBorder="1"/>
    <xf numFmtId="0" fontId="39" fillId="7" borderId="105" xfId="0" applyFont="1" applyFill="1" applyBorder="1"/>
    <xf numFmtId="3" fontId="39" fillId="6" borderId="106" xfId="0" applyNumberFormat="1" applyFont="1" applyFill="1" applyBorder="1"/>
    <xf numFmtId="0" fontId="38" fillId="5" borderId="68" xfId="0" applyFont="1" applyFill="1" applyBorder="1"/>
    <xf numFmtId="0" fontId="40" fillId="5" borderId="68" xfId="0" applyFont="1" applyFill="1" applyBorder="1" applyAlignment="1"/>
    <xf numFmtId="0" fontId="40" fillId="5" borderId="69" xfId="0" applyFont="1" applyFill="1" applyBorder="1" applyAlignment="1"/>
    <xf numFmtId="0" fontId="40" fillId="5" borderId="70" xfId="0" applyFont="1" applyFill="1" applyBorder="1" applyAlignment="1"/>
    <xf numFmtId="0" fontId="42" fillId="0" borderId="103" xfId="0" applyFont="1" applyBorder="1" applyAlignment="1">
      <alignment horizontal="right" indent="1"/>
    </xf>
    <xf numFmtId="0" fontId="42" fillId="3" borderId="71" xfId="0" applyFont="1" applyFill="1" applyBorder="1" applyAlignment="1">
      <alignment horizontal="right" indent="1"/>
    </xf>
    <xf numFmtId="0" fontId="47" fillId="0" borderId="2" xfId="0" applyFont="1" applyBorder="1"/>
    <xf numFmtId="0" fontId="47" fillId="0" borderId="72" xfId="0" applyFont="1" applyBorder="1"/>
    <xf numFmtId="0" fontId="48" fillId="0" borderId="2" xfId="0" applyFont="1" applyBorder="1"/>
    <xf numFmtId="0" fontId="49" fillId="0" borderId="2" xfId="0" applyFont="1" applyBorder="1"/>
    <xf numFmtId="0" fontId="49" fillId="0" borderId="72" xfId="0" applyFont="1" applyBorder="1"/>
    <xf numFmtId="0" fontId="41" fillId="5" borderId="68" xfId="0" applyFont="1" applyFill="1" applyBorder="1"/>
    <xf numFmtId="0" fontId="40" fillId="5" borderId="69" xfId="0" applyFont="1" applyFill="1" applyBorder="1"/>
    <xf numFmtId="0" fontId="41" fillId="5" borderId="69" xfId="0" applyFont="1" applyFill="1" applyBorder="1"/>
    <xf numFmtId="0" fontId="41" fillId="5" borderId="70" xfId="0" applyFont="1" applyFill="1" applyBorder="1"/>
    <xf numFmtId="0" fontId="50" fillId="3" borderId="73" xfId="0" applyFont="1" applyFill="1" applyBorder="1" applyAlignment="1">
      <alignment horizontal="right" indent="1"/>
    </xf>
    <xf numFmtId="0" fontId="50" fillId="0" borderId="74" xfId="0" applyFont="1" applyBorder="1"/>
    <xf numFmtId="0" fontId="50" fillId="0" borderId="75" xfId="0" applyFont="1" applyBorder="1"/>
    <xf numFmtId="0" fontId="42" fillId="3" borderId="83" xfId="0" applyFont="1" applyFill="1" applyBorder="1"/>
    <xf numFmtId="0" fontId="42" fillId="3" borderId="0" xfId="0" applyFont="1" applyFill="1" applyBorder="1" applyAlignment="1">
      <alignment horizontal="center"/>
    </xf>
    <xf numFmtId="0" fontId="42" fillId="3" borderId="84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38" fillId="0" borderId="0" xfId="0" applyFont="1" applyBorder="1"/>
    <xf numFmtId="0" fontId="39" fillId="0" borderId="83" xfId="0" applyFont="1" applyFill="1" applyBorder="1" applyAlignment="1">
      <alignment horizontal="right" indent="1"/>
    </xf>
    <xf numFmtId="0" fontId="51" fillId="4" borderId="0" xfId="0" applyFont="1" applyFill="1" applyBorder="1" applyAlignment="1">
      <alignment horizontal="center" vertical="center"/>
    </xf>
    <xf numFmtId="0" fontId="42" fillId="15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84" xfId="0" applyFont="1" applyFill="1" applyBorder="1" applyAlignment="1">
      <alignment horizontal="center" vertical="center"/>
    </xf>
    <xf numFmtId="43" fontId="38" fillId="0" borderId="0" xfId="2" applyFont="1" applyBorder="1"/>
    <xf numFmtId="0" fontId="41" fillId="11" borderId="100" xfId="0" applyFont="1" applyFill="1" applyBorder="1"/>
    <xf numFmtId="0" fontId="40" fillId="11" borderId="101" xfId="0" applyFont="1" applyFill="1" applyBorder="1"/>
    <xf numFmtId="0" fontId="41" fillId="11" borderId="101" xfId="0" applyFont="1" applyFill="1" applyBorder="1"/>
    <xf numFmtId="0" fontId="41" fillId="11" borderId="102" xfId="0" applyFont="1" applyFill="1" applyBorder="1"/>
    <xf numFmtId="0" fontId="39" fillId="0" borderId="85" xfId="0" applyFont="1" applyBorder="1" applyAlignment="1">
      <alignment horizontal="right"/>
    </xf>
    <xf numFmtId="0" fontId="51" fillId="4" borderId="86" xfId="0" applyFont="1" applyFill="1" applyBorder="1" applyAlignment="1">
      <alignment horizontal="center" vertical="center"/>
    </xf>
    <xf numFmtId="0" fontId="42" fillId="15" borderId="86" xfId="0" applyFont="1" applyFill="1" applyBorder="1" applyAlignment="1">
      <alignment horizontal="center" vertical="center"/>
    </xf>
    <xf numFmtId="0" fontId="52" fillId="36" borderId="86" xfId="0" applyFont="1" applyFill="1" applyBorder="1" applyAlignment="1">
      <alignment horizontal="center"/>
    </xf>
    <xf numFmtId="0" fontId="38" fillId="0" borderId="86" xfId="0" applyFont="1" applyBorder="1"/>
    <xf numFmtId="0" fontId="38" fillId="0" borderId="87" xfId="0" applyFont="1" applyBorder="1"/>
    <xf numFmtId="0" fontId="42" fillId="3" borderId="103" xfId="0" applyFont="1" applyFill="1" applyBorder="1"/>
    <xf numFmtId="0" fontId="42" fillId="3" borderId="104" xfId="0" applyFont="1" applyFill="1" applyBorder="1" applyAlignment="1">
      <alignment horizontal="center"/>
    </xf>
    <xf numFmtId="0" fontId="39" fillId="0" borderId="83" xfId="0" applyFont="1" applyBorder="1" applyAlignment="1">
      <alignment horizontal="right" indent="1"/>
    </xf>
    <xf numFmtId="0" fontId="42" fillId="0" borderId="0" xfId="0" applyFont="1" applyBorder="1" applyAlignment="1">
      <alignment horizontal="center"/>
    </xf>
    <xf numFmtId="0" fontId="42" fillId="0" borderId="84" xfId="0" applyFont="1" applyBorder="1" applyAlignment="1">
      <alignment horizontal="center"/>
    </xf>
    <xf numFmtId="0" fontId="40" fillId="5" borderId="68" xfId="0" applyFont="1" applyFill="1" applyBorder="1" applyAlignment="1">
      <alignment horizontal="left" indent="1"/>
    </xf>
    <xf numFmtId="0" fontId="38" fillId="5" borderId="70" xfId="0" applyFont="1" applyFill="1" applyBorder="1" applyAlignment="1">
      <alignment horizontal="left" indent="1"/>
    </xf>
    <xf numFmtId="0" fontId="50" fillId="0" borderId="0" xfId="0" applyFont="1" applyBorder="1" applyAlignment="1">
      <alignment horizontal="center"/>
    </xf>
    <xf numFmtId="0" fontId="50" fillId="0" borderId="84" xfId="0" applyFont="1" applyBorder="1" applyAlignment="1">
      <alignment horizontal="center"/>
    </xf>
    <xf numFmtId="0" fontId="42" fillId="3" borderId="104" xfId="0" applyFont="1" applyFill="1" applyBorder="1" applyAlignment="1">
      <alignment horizontal="right"/>
    </xf>
    <xf numFmtId="0" fontId="39" fillId="0" borderId="72" xfId="0" applyFont="1" applyBorder="1"/>
    <xf numFmtId="0" fontId="39" fillId="3" borderId="85" xfId="0" applyFont="1" applyFill="1" applyBorder="1" applyAlignment="1">
      <alignment horizontal="right" indent="1"/>
    </xf>
    <xf numFmtId="0" fontId="39" fillId="3" borderId="86" xfId="0" applyFont="1" applyFill="1" applyBorder="1" applyAlignment="1">
      <alignment horizontal="center"/>
    </xf>
    <xf numFmtId="0" fontId="53" fillId="3" borderId="87" xfId="0" applyFont="1" applyFill="1" applyBorder="1" applyAlignment="1">
      <alignment horizontal="center"/>
    </xf>
    <xf numFmtId="0" fontId="39" fillId="0" borderId="97" xfId="0" applyFont="1" applyFill="1" applyBorder="1" applyAlignment="1">
      <alignment horizontal="right" indent="1"/>
    </xf>
    <xf numFmtId="0" fontId="54" fillId="0" borderId="98" xfId="0" applyFont="1" applyBorder="1" applyAlignment="1">
      <alignment horizontal="center" vertical="center"/>
    </xf>
    <xf numFmtId="0" fontId="54" fillId="0" borderId="99" xfId="0" applyFont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42" fillId="3" borderId="73" xfId="0" applyFont="1" applyFill="1" applyBorder="1" applyAlignment="1">
      <alignment horizontal="right" indent="1"/>
    </xf>
    <xf numFmtId="0" fontId="39" fillId="0" borderId="75" xfId="0" applyFont="1" applyBorder="1"/>
    <xf numFmtId="0" fontId="40" fillId="12" borderId="100" xfId="0" applyFont="1" applyFill="1" applyBorder="1"/>
    <xf numFmtId="0" fontId="40" fillId="12" borderId="101" xfId="0" applyFont="1" applyFill="1" applyBorder="1"/>
    <xf numFmtId="0" fontId="40" fillId="12" borderId="102" xfId="0" applyFont="1" applyFill="1" applyBorder="1"/>
    <xf numFmtId="0" fontId="42" fillId="0" borderId="83" xfId="0" applyFont="1" applyBorder="1" applyAlignment="1">
      <alignment horizontal="right" indent="1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39" fillId="0" borderId="105" xfId="0" applyFont="1" applyBorder="1" applyAlignment="1">
      <alignment horizontal="right" indent="1"/>
    </xf>
    <xf numFmtId="0" fontId="39" fillId="0" borderId="106" xfId="0" applyFont="1" applyBorder="1" applyAlignment="1">
      <alignment horizontal="center"/>
    </xf>
    <xf numFmtId="0" fontId="41" fillId="12" borderId="100" xfId="0" applyFont="1" applyFill="1" applyBorder="1"/>
    <xf numFmtId="0" fontId="41" fillId="12" borderId="101" xfId="0" applyFont="1" applyFill="1" applyBorder="1"/>
    <xf numFmtId="0" fontId="41" fillId="12" borderId="102" xfId="0" applyFont="1" applyFill="1" applyBorder="1"/>
    <xf numFmtId="0" fontId="39" fillId="0" borderId="0" xfId="0" applyFont="1" applyBorder="1" applyAlignment="1">
      <alignment horizontal="right" indent="1"/>
    </xf>
    <xf numFmtId="0" fontId="39" fillId="0" borderId="85" xfId="0" applyFont="1" applyFill="1" applyBorder="1" applyAlignment="1">
      <alignment horizontal="right"/>
    </xf>
    <xf numFmtId="0" fontId="42" fillId="0" borderId="86" xfId="0" applyFont="1" applyFill="1" applyBorder="1" applyAlignment="1">
      <alignment horizontal="center" vertical="center"/>
    </xf>
    <xf numFmtId="10" fontId="42" fillId="0" borderId="86" xfId="0" applyNumberFormat="1" applyFont="1" applyFill="1" applyBorder="1" applyAlignment="1">
      <alignment horizontal="center" vertical="center"/>
    </xf>
    <xf numFmtId="0" fontId="41" fillId="12" borderId="7" xfId="0" applyFont="1" applyFill="1" applyBorder="1"/>
    <xf numFmtId="0" fontId="40" fillId="12" borderId="8" xfId="0" applyFont="1" applyFill="1" applyBorder="1"/>
    <xf numFmtId="0" fontId="41" fillId="12" borderId="8" xfId="0" applyFont="1" applyFill="1" applyBorder="1"/>
    <xf numFmtId="0" fontId="41" fillId="12" borderId="9" xfId="0" applyFont="1" applyFill="1" applyBorder="1"/>
    <xf numFmtId="0" fontId="39" fillId="0" borderId="14" xfId="0" applyFont="1" applyBorder="1" applyAlignment="1">
      <alignment horizontal="right" indent="1"/>
    </xf>
    <xf numFmtId="164" fontId="39" fillId="0" borderId="0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164" fontId="39" fillId="0" borderId="18" xfId="0" applyNumberFormat="1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42" fillId="3" borderId="107" xfId="0" applyFont="1" applyFill="1" applyBorder="1"/>
    <xf numFmtId="0" fontId="42" fillId="3" borderId="32" xfId="0" applyFont="1" applyFill="1" applyBorder="1" applyAlignment="1">
      <alignment horizontal="center"/>
    </xf>
    <xf numFmtId="0" fontId="42" fillId="3" borderId="82" xfId="0" applyFont="1" applyFill="1" applyBorder="1" applyAlignment="1">
      <alignment horizontal="center"/>
    </xf>
    <xf numFmtId="0" fontId="39" fillId="0" borderId="84" xfId="0" applyFont="1" applyBorder="1" applyAlignment="1">
      <alignment horizontal="center" vertical="center"/>
    </xf>
    <xf numFmtId="0" fontId="39" fillId="0" borderId="108" xfId="0" applyFont="1" applyBorder="1" applyAlignment="1">
      <alignment horizontal="right" indent="1"/>
    </xf>
    <xf numFmtId="0" fontId="39" fillId="0" borderId="109" xfId="0" applyFont="1" applyBorder="1" applyAlignment="1">
      <alignment horizontal="center"/>
    </xf>
    <xf numFmtId="0" fontId="46" fillId="0" borderId="0" xfId="0" applyFont="1" applyBorder="1" applyAlignment="1">
      <alignment horizontal="left" vertical="top" wrapText="1"/>
    </xf>
    <xf numFmtId="0" fontId="46" fillId="0" borderId="0" xfId="0" applyFont="1" applyBorder="1" applyAlignment="1">
      <alignment horizontal="left" vertical="top"/>
    </xf>
    <xf numFmtId="0" fontId="1" fillId="2" borderId="0" xfId="0" applyFont="1" applyFill="1" applyAlignment="1">
      <alignment horizontal="center" vertical="center" wrapText="1"/>
    </xf>
    <xf numFmtId="0" fontId="2" fillId="2" borderId="0" xfId="1" applyFill="1" applyAlignment="1">
      <alignment horizontal="center" vertical="center" wrapText="1"/>
    </xf>
    <xf numFmtId="0" fontId="55" fillId="10" borderId="5" xfId="0" applyFont="1" applyFill="1" applyBorder="1"/>
    <xf numFmtId="1" fontId="0" fillId="0" borderId="0" xfId="0" applyNumberFormat="1"/>
    <xf numFmtId="0" fontId="39" fillId="0" borderId="85" xfId="0" applyFont="1" applyFill="1" applyBorder="1" applyAlignment="1">
      <alignment horizontal="right" indent="1"/>
    </xf>
    <xf numFmtId="0" fontId="42" fillId="37" borderId="0" xfId="0" applyFont="1" applyFill="1" applyBorder="1" applyAlignment="1">
      <alignment horizontal="center" vertical="center"/>
    </xf>
    <xf numFmtId="0" fontId="42" fillId="30" borderId="0" xfId="0" applyFont="1" applyFill="1" applyBorder="1" applyAlignment="1">
      <alignment horizontal="center" vertical="center"/>
    </xf>
    <xf numFmtId="0" fontId="42" fillId="30" borderId="86" xfId="0" applyFont="1" applyFill="1" applyBorder="1" applyAlignment="1">
      <alignment horizontal="center" vertical="center"/>
    </xf>
    <xf numFmtId="0" fontId="38" fillId="0" borderId="0" xfId="0" applyFont="1" applyBorder="1" applyAlignment="1">
      <alignment vertical="top"/>
    </xf>
    <xf numFmtId="0" fontId="38" fillId="0" borderId="0" xfId="0" applyFont="1" applyBorder="1" applyAlignment="1">
      <alignment horizontal="left" vertical="top"/>
    </xf>
    <xf numFmtId="0" fontId="46" fillId="0" borderId="0" xfId="0" applyFont="1" applyBorder="1" applyAlignment="1">
      <alignment horizontal="center" vertical="top" wrapText="1"/>
    </xf>
    <xf numFmtId="0" fontId="56" fillId="0" borderId="0" xfId="0" applyFont="1" applyBorder="1" applyAlignment="1">
      <alignment horizontal="center" vertical="top" wrapText="1"/>
    </xf>
    <xf numFmtId="0" fontId="42" fillId="38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6" xfId="0" applyFont="1" applyFill="1" applyBorder="1" applyAlignment="1">
      <alignment horizontal="center" vertical="center"/>
    </xf>
    <xf numFmtId="10" fontId="42" fillId="0" borderId="0" xfId="0" applyNumberFormat="1" applyFont="1" applyBorder="1" applyAlignment="1">
      <alignment horizontal="center" vertical="center"/>
    </xf>
    <xf numFmtId="0" fontId="1" fillId="35" borderId="0" xfId="0" applyFont="1" applyFill="1" applyAlignment="1">
      <alignment horizontal="center" vertical="center" wrapText="1"/>
    </xf>
    <xf numFmtId="1" fontId="1" fillId="35" borderId="0" xfId="0" applyNumberFormat="1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2" xfId="0" applyFont="1" applyFill="1" applyBorder="1"/>
    <xf numFmtId="0" fontId="0" fillId="2" borderId="0" xfId="0" applyNumberFormat="1" applyFill="1" applyAlignment="1">
      <alignment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57" fillId="0" borderId="30" xfId="0" applyFont="1" applyFill="1" applyBorder="1"/>
    <xf numFmtId="49" fontId="57" fillId="0" borderId="0" xfId="0" applyNumberFormat="1" applyFont="1"/>
    <xf numFmtId="0" fontId="57" fillId="0" borderId="30" xfId="0" applyFont="1" applyBorder="1" applyAlignment="1">
      <alignment horizontal="left" indent="1"/>
    </xf>
    <xf numFmtId="14" fontId="57" fillId="0" borderId="0" xfId="0" applyNumberFormat="1" applyFont="1"/>
    <xf numFmtId="0" fontId="57" fillId="0" borderId="0" xfId="0" applyFont="1" applyAlignment="1">
      <alignment horizontal="left" indent="1"/>
    </xf>
    <xf numFmtId="49" fontId="57" fillId="0" borderId="30" xfId="0" applyNumberFormat="1" applyFont="1" applyBorder="1" applyAlignment="1">
      <alignment horizontal="left" indent="1"/>
    </xf>
    <xf numFmtId="49" fontId="57" fillId="0" borderId="0" xfId="0" applyNumberFormat="1" applyFont="1" applyAlignment="1">
      <alignment horizontal="right"/>
    </xf>
    <xf numFmtId="49" fontId="57" fillId="0" borderId="0" xfId="0" applyNumberFormat="1" applyFont="1" applyAlignment="1">
      <alignment horizontal="left" indent="1"/>
    </xf>
    <xf numFmtId="0" fontId="57" fillId="35" borderId="0" xfId="0" applyFont="1" applyFill="1" applyAlignment="1">
      <alignment horizontal="left" indent="1"/>
    </xf>
    <xf numFmtId="49" fontId="57" fillId="0" borderId="0" xfId="0" applyNumberFormat="1" applyFont="1" applyFill="1" applyBorder="1"/>
    <xf numFmtId="49" fontId="57" fillId="0" borderId="30" xfId="0" applyNumberFormat="1" applyFont="1" applyBorder="1"/>
    <xf numFmtId="0" fontId="57" fillId="0" borderId="0" xfId="0" applyFont="1"/>
    <xf numFmtId="0" fontId="57" fillId="0" borderId="29" xfId="0" applyFont="1" applyBorder="1"/>
    <xf numFmtId="14" fontId="57" fillId="0" borderId="29" xfId="0" applyNumberFormat="1" applyFont="1" applyBorder="1"/>
    <xf numFmtId="0" fontId="57" fillId="0" borderId="30" xfId="0" applyFont="1" applyBorder="1"/>
    <xf numFmtId="0" fontId="57" fillId="0" borderId="0" xfId="0" applyFont="1" applyBorder="1"/>
    <xf numFmtId="0" fontId="0" fillId="0" borderId="30" xfId="0" applyFont="1" applyBorder="1" applyAlignment="1">
      <alignment horizontal="left" indent="1"/>
    </xf>
    <xf numFmtId="14" fontId="57" fillId="0" borderId="0" xfId="0" applyNumberFormat="1" applyFont="1" applyAlignment="1">
      <alignment horizontal="right"/>
    </xf>
    <xf numFmtId="0" fontId="57" fillId="0" borderId="0" xfId="0" applyFont="1" applyFill="1" applyBorder="1"/>
    <xf numFmtId="0" fontId="0" fillId="0" borderId="0" xfId="0" applyFont="1" applyFill="1" applyBorder="1"/>
    <xf numFmtId="0" fontId="0" fillId="0" borderId="29" xfId="0" applyFont="1" applyFill="1" applyBorder="1"/>
    <xf numFmtId="0" fontId="0" fillId="0" borderId="0" xfId="0" applyFont="1" applyAlignment="1">
      <alignment horizontal="left" indent="1"/>
    </xf>
    <xf numFmtId="0" fontId="0" fillId="0" borderId="30" xfId="0" applyFont="1" applyBorder="1"/>
    <xf numFmtId="0" fontId="0" fillId="0" borderId="30" xfId="0" applyFont="1" applyFill="1" applyBorder="1"/>
    <xf numFmtId="14" fontId="0" fillId="0" borderId="0" xfId="0" applyNumberFormat="1" applyFont="1" applyAlignment="1">
      <alignment horizontal="right"/>
    </xf>
    <xf numFmtId="0" fontId="0" fillId="35" borderId="0" xfId="0" applyFont="1" applyFill="1" applyAlignment="1">
      <alignment horizontal="left" indent="1"/>
    </xf>
    <xf numFmtId="0" fontId="7" fillId="0" borderId="0" xfId="0" applyFont="1" applyAlignment="1">
      <alignment vertical="center"/>
    </xf>
    <xf numFmtId="0" fontId="57" fillId="0" borderId="0" xfId="0" applyFont="1" applyFill="1"/>
    <xf numFmtId="0" fontId="0" fillId="0" borderId="30" xfId="0" applyFont="1" applyFill="1" applyBorder="1" applyAlignment="1">
      <alignment vertical="top"/>
    </xf>
    <xf numFmtId="0" fontId="0" fillId="0" borderId="26" xfId="0" applyBorder="1"/>
    <xf numFmtId="0" fontId="7" fillId="0" borderId="29" xfId="0" applyFont="1" applyBorder="1"/>
    <xf numFmtId="0" fontId="0" fillId="0" borderId="29" xfId="0" applyBorder="1" applyAlignment="1"/>
    <xf numFmtId="49" fontId="0" fillId="0" borderId="29" xfId="0" applyNumberFormat="1" applyBorder="1"/>
    <xf numFmtId="0" fontId="0" fillId="0" borderId="29" xfId="0" applyFill="1" applyBorder="1"/>
    <xf numFmtId="0" fontId="57" fillId="0" borderId="29" xfId="0" applyFont="1" applyFill="1" applyBorder="1"/>
    <xf numFmtId="49" fontId="57" fillId="0" borderId="29" xfId="0" applyNumberFormat="1" applyFont="1" applyBorder="1"/>
    <xf numFmtId="0" fontId="39" fillId="0" borderId="19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38" fillId="0" borderId="83" xfId="0" applyFont="1" applyBorder="1" applyAlignment="1">
      <alignment horizontal="left" indent="1"/>
    </xf>
    <xf numFmtId="0" fontId="38" fillId="0" borderId="0" xfId="0" applyFont="1" applyBorder="1" applyAlignment="1">
      <alignment horizontal="left" indent="1"/>
    </xf>
    <xf numFmtId="0" fontId="38" fillId="0" borderId="0" xfId="0" applyFont="1" applyFill="1" applyBorder="1"/>
    <xf numFmtId="0" fontId="38" fillId="0" borderId="84" xfId="0" applyFont="1" applyFill="1" applyBorder="1"/>
    <xf numFmtId="0" fontId="38" fillId="0" borderId="85" xfId="0" applyFont="1" applyBorder="1" applyAlignment="1">
      <alignment horizontal="left" indent="1"/>
    </xf>
    <xf numFmtId="0" fontId="38" fillId="0" borderId="86" xfId="0" applyFont="1" applyBorder="1" applyAlignment="1">
      <alignment horizontal="left" indent="1"/>
    </xf>
    <xf numFmtId="0" fontId="38" fillId="0" borderId="86" xfId="0" applyFont="1" applyFill="1" applyBorder="1"/>
    <xf numFmtId="0" fontId="38" fillId="0" borderId="87" xfId="0" applyFont="1" applyFill="1" applyBorder="1"/>
    <xf numFmtId="0" fontId="40" fillId="13" borderId="100" xfId="0" applyFont="1" applyFill="1" applyBorder="1" applyAlignment="1">
      <alignment horizontal="left" indent="13"/>
    </xf>
    <xf numFmtId="0" fontId="40" fillId="13" borderId="101" xfId="0" applyFont="1" applyFill="1" applyBorder="1" applyAlignment="1">
      <alignment horizontal="left" indent="13"/>
    </xf>
    <xf numFmtId="0" fontId="40" fillId="13" borderId="102" xfId="0" applyFont="1" applyFill="1" applyBorder="1" applyAlignment="1">
      <alignment horizontal="left" indent="13"/>
    </xf>
    <xf numFmtId="0" fontId="38" fillId="0" borderId="83" xfId="0" applyFont="1" applyFill="1" applyBorder="1" applyAlignment="1">
      <alignment horizontal="left" vertical="top" indent="1"/>
    </xf>
    <xf numFmtId="0" fontId="38" fillId="0" borderId="0" xfId="0" applyFont="1" applyFill="1" applyBorder="1" applyAlignment="1">
      <alignment horizontal="left" vertical="top" indent="1"/>
    </xf>
    <xf numFmtId="0" fontId="9" fillId="17" borderId="7" xfId="0" applyFont="1" applyFill="1" applyBorder="1" applyAlignment="1">
      <alignment horizontal="left" indent="2"/>
    </xf>
    <xf numFmtId="0" fontId="9" fillId="17" borderId="8" xfId="0" applyFont="1" applyFill="1" applyBorder="1" applyAlignment="1">
      <alignment horizontal="left" indent="2"/>
    </xf>
    <xf numFmtId="0" fontId="9" fillId="17" borderId="9" xfId="0" applyFont="1" applyFill="1" applyBorder="1" applyAlignment="1">
      <alignment horizontal="left" indent="2"/>
    </xf>
    <xf numFmtId="0" fontId="9" fillId="20" borderId="7" xfId="0" applyFont="1" applyFill="1" applyBorder="1" applyAlignment="1">
      <alignment horizontal="left" indent="2"/>
    </xf>
    <xf numFmtId="0" fontId="9" fillId="20" borderId="8" xfId="0" applyFont="1" applyFill="1" applyBorder="1" applyAlignment="1">
      <alignment horizontal="left" indent="2"/>
    </xf>
    <xf numFmtId="0" fontId="9" fillId="20" borderId="9" xfId="0" applyFont="1" applyFill="1" applyBorder="1" applyAlignment="1">
      <alignment horizontal="left" indent="2"/>
    </xf>
    <xf numFmtId="0" fontId="4" fillId="0" borderId="0" xfId="0" applyFont="1" applyBorder="1" applyAlignment="1">
      <alignment horizontal="center"/>
    </xf>
    <xf numFmtId="14" fontId="4" fillId="0" borderId="45" xfId="0" applyNumberFormat="1" applyFont="1" applyBorder="1" applyAlignment="1">
      <alignment horizontal="center"/>
    </xf>
    <xf numFmtId="14" fontId="4" fillId="0" borderId="46" xfId="0" applyNumberFormat="1" applyFont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8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2" fillId="0" borderId="0" xfId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4" xfId="0" applyBorder="1" applyAlignment="1">
      <alignment horizontal="left"/>
    </xf>
    <xf numFmtId="0" fontId="0" fillId="0" borderId="85" xfId="0" applyBorder="1" applyAlignment="1">
      <alignment horizontal="left" indent="1"/>
    </xf>
    <xf numFmtId="0" fontId="0" fillId="0" borderId="86" xfId="0" applyBorder="1" applyAlignment="1">
      <alignment horizontal="left" indent="1"/>
    </xf>
    <xf numFmtId="0" fontId="2" fillId="0" borderId="86" xfId="1" applyBorder="1" applyAlignment="1">
      <alignment horizontal="left"/>
    </xf>
    <xf numFmtId="0" fontId="0" fillId="0" borderId="86" xfId="0" applyBorder="1" applyAlignment="1">
      <alignment horizontal="left"/>
    </xf>
    <xf numFmtId="0" fontId="0" fillId="0" borderId="87" xfId="0" applyBorder="1" applyAlignment="1">
      <alignment horizontal="left"/>
    </xf>
    <xf numFmtId="0" fontId="9" fillId="13" borderId="7" xfId="0" applyFont="1" applyFill="1" applyBorder="1" applyAlignment="1">
      <alignment horizontal="left" indent="13"/>
    </xf>
    <xf numFmtId="0" fontId="9" fillId="13" borderId="8" xfId="0" applyFont="1" applyFill="1" applyBorder="1" applyAlignment="1">
      <alignment horizontal="left" indent="13"/>
    </xf>
    <xf numFmtId="0" fontId="9" fillId="13" borderId="9" xfId="0" applyFont="1" applyFill="1" applyBorder="1" applyAlignment="1">
      <alignment horizontal="left" indent="13"/>
    </xf>
    <xf numFmtId="0" fontId="9" fillId="12" borderId="68" xfId="0" applyFont="1" applyFill="1" applyBorder="1" applyAlignment="1">
      <alignment horizontal="center"/>
    </xf>
    <xf numFmtId="0" fontId="9" fillId="12" borderId="69" xfId="0" applyFont="1" applyFill="1" applyBorder="1" applyAlignment="1">
      <alignment horizontal="center"/>
    </xf>
    <xf numFmtId="0" fontId="9" fillId="12" borderId="70" xfId="0" applyFont="1" applyFill="1" applyBorder="1" applyAlignment="1">
      <alignment horizontal="center"/>
    </xf>
    <xf numFmtId="0" fontId="9" fillId="9" borderId="68" xfId="0" applyFont="1" applyFill="1" applyBorder="1" applyAlignment="1">
      <alignment horizontal="center"/>
    </xf>
    <xf numFmtId="0" fontId="9" fillId="9" borderId="69" xfId="0" applyFont="1" applyFill="1" applyBorder="1" applyAlignment="1">
      <alignment horizontal="center"/>
    </xf>
    <xf numFmtId="0" fontId="9" fillId="9" borderId="70" xfId="0" applyFont="1" applyFill="1" applyBorder="1" applyAlignment="1">
      <alignment horizontal="center"/>
    </xf>
    <xf numFmtId="0" fontId="0" fillId="0" borderId="83" xfId="0" applyFont="1" applyFill="1" applyBorder="1" applyAlignment="1">
      <alignment horizontal="left" vertical="top" indent="1"/>
    </xf>
    <xf numFmtId="0" fontId="0" fillId="0" borderId="0" xfId="0" applyFont="1" applyFill="1" applyBorder="1" applyAlignment="1">
      <alignment horizontal="left" vertical="top" indent="1"/>
    </xf>
    <xf numFmtId="0" fontId="2" fillId="0" borderId="0" xfId="1" applyFill="1" applyBorder="1" applyAlignment="1">
      <alignment horizontal="left" vertical="center"/>
    </xf>
    <xf numFmtId="0" fontId="34" fillId="0" borderId="0" xfId="1" applyFont="1" applyFill="1" applyBorder="1" applyAlignment="1">
      <alignment horizontal="left" vertical="center"/>
    </xf>
    <xf numFmtId="0" fontId="34" fillId="0" borderId="84" xfId="1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14" fontId="29" fillId="0" borderId="2" xfId="0" applyNumberFormat="1" applyFont="1" applyFill="1" applyBorder="1" applyAlignment="1">
      <alignment horizontal="center"/>
    </xf>
    <xf numFmtId="14" fontId="30" fillId="0" borderId="2" xfId="0" applyNumberFormat="1" applyFont="1" applyFill="1" applyBorder="1" applyAlignment="1">
      <alignment horizontal="center"/>
    </xf>
    <xf numFmtId="0" fontId="29" fillId="0" borderId="47" xfId="0" applyFont="1" applyFill="1" applyBorder="1" applyAlignment="1">
      <alignment horizontal="center" vertical="center"/>
    </xf>
    <xf numFmtId="0" fontId="29" fillId="0" borderId="91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14" fontId="26" fillId="0" borderId="2" xfId="0" applyNumberFormat="1" applyFont="1" applyBorder="1" applyAlignment="1">
      <alignment horizontal="center"/>
    </xf>
    <xf numFmtId="14" fontId="22" fillId="0" borderId="2" xfId="0" applyNumberFormat="1" applyFont="1" applyBorder="1" applyAlignment="1">
      <alignment horizontal="center"/>
    </xf>
    <xf numFmtId="0" fontId="26" fillId="29" borderId="2" xfId="0" applyFont="1" applyFill="1" applyBorder="1" applyAlignment="1">
      <alignment horizontal="center"/>
    </xf>
    <xf numFmtId="0" fontId="26" fillId="29" borderId="72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13" borderId="7" xfId="0" applyFont="1" applyFill="1" applyBorder="1" applyAlignment="1">
      <alignment horizontal="left" vertical="center" indent="2"/>
    </xf>
    <xf numFmtId="0" fontId="9" fillId="13" borderId="8" xfId="0" applyFont="1" applyFill="1" applyBorder="1" applyAlignment="1">
      <alignment horizontal="left" vertical="center" indent="2"/>
    </xf>
    <xf numFmtId="0" fontId="9" fillId="13" borderId="48" xfId="0" applyFont="1" applyFill="1" applyBorder="1" applyAlignment="1">
      <alignment horizontal="left" vertical="center" indent="2"/>
    </xf>
    <xf numFmtId="0" fontId="9" fillId="13" borderId="9" xfId="0" applyFont="1" applyFill="1" applyBorder="1" applyAlignment="1">
      <alignment horizontal="left" vertical="center" indent="2"/>
    </xf>
    <xf numFmtId="0" fontId="9" fillId="13" borderId="51" xfId="0" applyFont="1" applyFill="1" applyBorder="1" applyAlignment="1">
      <alignment horizontal="center" vertical="center"/>
    </xf>
    <xf numFmtId="0" fontId="9" fillId="13" borderId="52" xfId="0" applyFont="1" applyFill="1" applyBorder="1" applyAlignment="1">
      <alignment horizontal="center" vertical="center"/>
    </xf>
    <xf numFmtId="0" fontId="9" fillId="13" borderId="53" xfId="0" applyFont="1" applyFill="1" applyBorder="1" applyAlignment="1">
      <alignment horizontal="center" vertical="center"/>
    </xf>
    <xf numFmtId="0" fontId="9" fillId="13" borderId="78" xfId="0" applyFont="1" applyFill="1" applyBorder="1" applyAlignment="1">
      <alignment horizontal="center"/>
    </xf>
    <xf numFmtId="0" fontId="9" fillId="13" borderId="79" xfId="0" applyFont="1" applyFill="1" applyBorder="1" applyAlignment="1">
      <alignment horizontal="center"/>
    </xf>
    <xf numFmtId="0" fontId="9" fillId="13" borderId="80" xfId="0" applyFont="1" applyFill="1" applyBorder="1" applyAlignment="1">
      <alignment horizont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9" fillId="13" borderId="88" xfId="0" applyFont="1" applyFill="1" applyBorder="1" applyAlignment="1">
      <alignment horizontal="left" vertical="center" indent="2"/>
    </xf>
    <xf numFmtId="0" fontId="9" fillId="13" borderId="89" xfId="0" applyFont="1" applyFill="1" applyBorder="1" applyAlignment="1">
      <alignment horizontal="left" vertical="center" indent="2"/>
    </xf>
    <xf numFmtId="0" fontId="9" fillId="13" borderId="90" xfId="0" applyFont="1" applyFill="1" applyBorder="1" applyAlignment="1">
      <alignment horizontal="left" vertical="center" indent="2"/>
    </xf>
    <xf numFmtId="0" fontId="4" fillId="3" borderId="2" xfId="0" applyFont="1" applyFill="1" applyBorder="1" applyAlignment="1">
      <alignment horizontal="center"/>
    </xf>
    <xf numFmtId="0" fontId="4" fillId="3" borderId="72" xfId="0" applyFont="1" applyFill="1" applyBorder="1" applyAlignment="1">
      <alignment horizontal="center"/>
    </xf>
    <xf numFmtId="0" fontId="26" fillId="22" borderId="2" xfId="0" applyFont="1" applyFill="1" applyBorder="1" applyAlignment="1">
      <alignment horizontal="center"/>
    </xf>
    <xf numFmtId="0" fontId="26" fillId="22" borderId="72" xfId="0" applyFont="1" applyFill="1" applyBorder="1" applyAlignment="1">
      <alignment horizontal="center"/>
    </xf>
    <xf numFmtId="14" fontId="26" fillId="0" borderId="47" xfId="0" applyNumberFormat="1" applyFont="1" applyBorder="1" applyAlignment="1">
      <alignment horizontal="center"/>
    </xf>
    <xf numFmtId="14" fontId="26" fillId="0" borderId="65" xfId="0" applyNumberFormat="1" applyFont="1" applyBorder="1" applyAlignment="1">
      <alignment horizontal="center"/>
    </xf>
    <xf numFmtId="14" fontId="22" fillId="0" borderId="47" xfId="0" applyNumberFormat="1" applyFont="1" applyBorder="1" applyAlignment="1">
      <alignment horizontal="center"/>
    </xf>
    <xf numFmtId="14" fontId="22" fillId="0" borderId="65" xfId="0" applyNumberFormat="1" applyFont="1" applyBorder="1" applyAlignment="1">
      <alignment horizontal="center"/>
    </xf>
    <xf numFmtId="0" fontId="26" fillId="0" borderId="47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65" xfId="0" applyFont="1" applyBorder="1" applyAlignment="1">
      <alignment horizontal="center"/>
    </xf>
    <xf numFmtId="0" fontId="26" fillId="22" borderId="47" xfId="0" applyFont="1" applyFill="1" applyBorder="1" applyAlignment="1">
      <alignment horizontal="center"/>
    </xf>
    <xf numFmtId="0" fontId="26" fillId="22" borderId="91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14" fontId="32" fillId="0" borderId="2" xfId="0" applyNumberFormat="1" applyFont="1" applyFill="1" applyBorder="1" applyAlignment="1">
      <alignment horizontal="center"/>
    </xf>
    <xf numFmtId="14" fontId="33" fillId="0" borderId="2" xfId="0" applyNumberFormat="1" applyFont="1" applyFill="1" applyBorder="1" applyAlignment="1">
      <alignment horizontal="center"/>
    </xf>
    <xf numFmtId="0" fontId="32" fillId="0" borderId="72" xfId="0" applyFont="1" applyFill="1" applyBorder="1" applyAlignment="1">
      <alignment horizontal="center"/>
    </xf>
    <xf numFmtId="0" fontId="4" fillId="0" borderId="47" xfId="0" applyFont="1" applyBorder="1" applyAlignment="1">
      <alignment horizontal="left" vertical="top" wrapText="1"/>
    </xf>
    <xf numFmtId="0" fontId="4" fillId="0" borderId="64" xfId="0" applyFont="1" applyBorder="1" applyAlignment="1">
      <alignment horizontal="left" vertical="top" wrapText="1"/>
    </xf>
    <xf numFmtId="0" fontId="4" fillId="0" borderId="91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center" vertical="top"/>
    </xf>
    <xf numFmtId="0" fontId="4" fillId="0" borderId="64" xfId="0" applyFont="1" applyBorder="1" applyAlignment="1">
      <alignment horizontal="center" vertical="top"/>
    </xf>
    <xf numFmtId="0" fontId="4" fillId="0" borderId="65" xfId="0" applyFont="1" applyBorder="1" applyAlignment="1">
      <alignment horizontal="center" vertical="top"/>
    </xf>
    <xf numFmtId="0" fontId="9" fillId="21" borderId="88" xfId="0" applyFont="1" applyFill="1" applyBorder="1" applyAlignment="1">
      <alignment horizontal="left" indent="2"/>
    </xf>
    <xf numFmtId="0" fontId="9" fillId="21" borderId="89" xfId="0" applyFont="1" applyFill="1" applyBorder="1" applyAlignment="1">
      <alignment horizontal="left" indent="2"/>
    </xf>
    <xf numFmtId="0" fontId="9" fillId="21" borderId="90" xfId="0" applyFont="1" applyFill="1" applyBorder="1" applyAlignment="1">
      <alignment horizontal="left" indent="2"/>
    </xf>
    <xf numFmtId="0" fontId="4" fillId="3" borderId="47" xfId="0" applyFont="1" applyFill="1" applyBorder="1" applyAlignment="1">
      <alignment horizontal="center"/>
    </xf>
    <xf numFmtId="0" fontId="4" fillId="3" borderId="65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0" fontId="4" fillId="3" borderId="9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9" fillId="5" borderId="97" xfId="0" applyFont="1" applyFill="1" applyBorder="1" applyAlignment="1">
      <alignment horizontal="center"/>
    </xf>
    <xf numFmtId="0" fontId="9" fillId="5" borderId="98" xfId="0" applyFont="1" applyFill="1" applyBorder="1" applyAlignment="1">
      <alignment horizontal="center"/>
    </xf>
    <xf numFmtId="0" fontId="9" fillId="5" borderId="99" xfId="0" applyFont="1" applyFill="1" applyBorder="1" applyAlignment="1">
      <alignment horizontal="center"/>
    </xf>
    <xf numFmtId="0" fontId="26" fillId="0" borderId="93" xfId="0" applyFont="1" applyBorder="1" applyAlignment="1">
      <alignment horizontal="center"/>
    </xf>
    <xf numFmtId="0" fontId="26" fillId="0" borderId="94" xfId="0" applyFont="1" applyBorder="1" applyAlignment="1">
      <alignment horizontal="center"/>
    </xf>
    <xf numFmtId="0" fontId="26" fillId="0" borderId="95" xfId="0" applyFont="1" applyBorder="1" applyAlignment="1">
      <alignment horizontal="center"/>
    </xf>
    <xf numFmtId="14" fontId="26" fillId="0" borderId="93" xfId="0" applyNumberFormat="1" applyFont="1" applyBorder="1" applyAlignment="1">
      <alignment horizontal="center"/>
    </xf>
    <xf numFmtId="14" fontId="26" fillId="0" borderId="95" xfId="0" applyNumberFormat="1" applyFont="1" applyBorder="1" applyAlignment="1">
      <alignment horizontal="center"/>
    </xf>
    <xf numFmtId="14" fontId="22" fillId="0" borderId="93" xfId="0" applyNumberFormat="1" applyFont="1" applyBorder="1" applyAlignment="1">
      <alignment horizontal="center"/>
    </xf>
    <xf numFmtId="14" fontId="22" fillId="0" borderId="95" xfId="0" applyNumberFormat="1" applyFont="1" applyBorder="1" applyAlignment="1">
      <alignment horizontal="center"/>
    </xf>
    <xf numFmtId="0" fontId="26" fillId="29" borderId="93" xfId="0" applyFont="1" applyFill="1" applyBorder="1" applyAlignment="1">
      <alignment horizontal="center"/>
    </xf>
    <xf numFmtId="0" fontId="26" fillId="29" borderId="96" xfId="0" applyFont="1" applyFill="1" applyBorder="1" applyAlignment="1">
      <alignment horizontal="center"/>
    </xf>
    <xf numFmtId="0" fontId="26" fillId="22" borderId="50" xfId="0" applyFont="1" applyFill="1" applyBorder="1" applyAlignment="1">
      <alignment horizontal="center"/>
    </xf>
    <xf numFmtId="0" fontId="26" fillId="22" borderId="92" xfId="0" applyFont="1" applyFill="1" applyBorder="1" applyAlignment="1">
      <alignment horizontal="center"/>
    </xf>
    <xf numFmtId="0" fontId="26" fillId="29" borderId="47" xfId="0" applyFont="1" applyFill="1" applyBorder="1" applyAlignment="1">
      <alignment horizontal="center"/>
    </xf>
    <xf numFmtId="0" fontId="26" fillId="29" borderId="91" xfId="0" applyFont="1" applyFill="1" applyBorder="1" applyAlignment="1">
      <alignment horizontal="center"/>
    </xf>
    <xf numFmtId="0" fontId="34" fillId="0" borderId="0" xfId="1" applyFont="1" applyBorder="1" applyAlignment="1">
      <alignment horizontal="left"/>
    </xf>
    <xf numFmtId="0" fontId="34" fillId="0" borderId="84" xfId="1" applyFont="1" applyBorder="1" applyAlignment="1">
      <alignment horizontal="left"/>
    </xf>
    <xf numFmtId="0" fontId="34" fillId="0" borderId="86" xfId="1" applyFont="1" applyBorder="1" applyAlignment="1">
      <alignment horizontal="left"/>
    </xf>
    <xf numFmtId="0" fontId="34" fillId="0" borderId="87" xfId="1" applyFont="1" applyBorder="1" applyAlignment="1">
      <alignment horizontal="left"/>
    </xf>
    <xf numFmtId="14" fontId="4" fillId="0" borderId="47" xfId="0" applyNumberFormat="1" applyFont="1" applyBorder="1" applyAlignment="1">
      <alignment horizontal="left" vertical="top" wrapText="1"/>
    </xf>
    <xf numFmtId="14" fontId="4" fillId="0" borderId="64" xfId="0" applyNumberFormat="1" applyFont="1" applyBorder="1" applyAlignment="1">
      <alignment horizontal="left" vertical="top" wrapText="1"/>
    </xf>
    <xf numFmtId="14" fontId="4" fillId="0" borderId="91" xfId="0" applyNumberFormat="1" applyFont="1" applyBorder="1" applyAlignment="1">
      <alignment horizontal="left" vertical="top" wrapText="1"/>
    </xf>
    <xf numFmtId="0" fontId="9" fillId="13" borderId="68" xfId="0" applyFont="1" applyFill="1" applyBorder="1" applyAlignment="1">
      <alignment horizontal="center"/>
    </xf>
    <xf numFmtId="0" fontId="9" fillId="13" borderId="69" xfId="0" applyFont="1" applyFill="1" applyBorder="1" applyAlignment="1">
      <alignment horizontal="center"/>
    </xf>
    <xf numFmtId="0" fontId="9" fillId="13" borderId="70" xfId="0" applyFont="1" applyFill="1" applyBorder="1" applyAlignment="1">
      <alignment horizontal="center"/>
    </xf>
  </cellXfs>
  <cellStyles count="7">
    <cellStyle name="Čárka" xfId="2" builtinId="3"/>
    <cellStyle name="Čárka 2" xfId="5"/>
    <cellStyle name="Excel Built-in Normal" xfId="3"/>
    <cellStyle name="Hypertextový odkaz" xfId="1" builtinId="8"/>
    <cellStyle name="Hypertextový odkaz 2" xfId="6"/>
    <cellStyle name="Normální" xfId="0" builtinId="0"/>
    <cellStyle name="Normální 2" xfId="4"/>
  </cellStyles>
  <dxfs count="0"/>
  <tableStyles count="0" defaultTableStyle="TableStyleMedium2" defaultPivotStyle="PivotStyleLight16"/>
  <colors>
    <mruColors>
      <color rgb="FF00FFCC"/>
      <color rgb="FFFFFFCC"/>
      <color rgb="FF00CC99"/>
      <color rgb="FF66FFCC"/>
      <color rgb="FF66FFFF"/>
      <color rgb="FFCCECFF"/>
      <color rgb="FFFFCCFF"/>
      <color rgb="FFFF99FF"/>
      <color rgb="FFFF99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39611324856935E-2"/>
          <c:y val="7.0075083641626193E-2"/>
          <c:w val="0.93142617766581948"/>
          <c:h val="0.771807951272167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'-- Servis 2017 --'!$P$4</c:f>
              <c:strCache>
                <c:ptCount val="1"/>
                <c:pt idx="0">
                  <c:v>Vykázáno na QCM</c:v>
                </c:pt>
              </c:strCache>
            </c:strRef>
          </c:tx>
          <c:invertIfNegative val="0"/>
          <c:cat>
            <c:strRef>
              <c:f>'-- Servis 2017 --'!$Q$3:$AB$3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'-- Servis 2017 --'!$Q$4:$AB$4</c:f>
              <c:numCache>
                <c:formatCode>General</c:formatCode>
                <c:ptCount val="12"/>
                <c:pt idx="0">
                  <c:v>1864.45</c:v>
                </c:pt>
                <c:pt idx="1">
                  <c:v>1671.45</c:v>
                </c:pt>
                <c:pt idx="2">
                  <c:v>1942.25</c:v>
                </c:pt>
                <c:pt idx="3">
                  <c:v>1532.65</c:v>
                </c:pt>
                <c:pt idx="4">
                  <c:v>1843</c:v>
                </c:pt>
                <c:pt idx="5">
                  <c:v>1927.05</c:v>
                </c:pt>
                <c:pt idx="6">
                  <c:v>1637.25</c:v>
                </c:pt>
                <c:pt idx="7">
                  <c:v>1811.45</c:v>
                </c:pt>
                <c:pt idx="8">
                  <c:v>1631.5</c:v>
                </c:pt>
                <c:pt idx="9">
                  <c:v>1871.41</c:v>
                </c:pt>
                <c:pt idx="10">
                  <c:v>1785.55</c:v>
                </c:pt>
                <c:pt idx="11">
                  <c:v>1583.97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8-4A6F-A7EB-954DF18B8B84}"/>
            </c:ext>
          </c:extLst>
        </c:ser>
        <c:ser>
          <c:idx val="1"/>
          <c:order val="1"/>
          <c:tx>
            <c:strRef>
              <c:f>'-- Servis 2017 --'!$P$5</c:f>
              <c:strCache>
                <c:ptCount val="1"/>
                <c:pt idx="0">
                  <c:v>Vykázáno na zákazníky</c:v>
                </c:pt>
              </c:strCache>
            </c:strRef>
          </c:tx>
          <c:invertIfNegative val="0"/>
          <c:cat>
            <c:strRef>
              <c:f>'-- Servis 2017 --'!$Q$3:$AB$3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'-- Servis 2017 --'!$Q$5:$AB$5</c:f>
              <c:numCache>
                <c:formatCode>General</c:formatCode>
                <c:ptCount val="12"/>
                <c:pt idx="0" formatCode="0">
                  <c:v>70</c:v>
                </c:pt>
                <c:pt idx="1">
                  <c:v>93</c:v>
                </c:pt>
                <c:pt idx="2">
                  <c:v>84</c:v>
                </c:pt>
                <c:pt idx="3">
                  <c:v>63.25</c:v>
                </c:pt>
                <c:pt idx="4">
                  <c:v>37.5</c:v>
                </c:pt>
                <c:pt idx="5">
                  <c:v>19.75</c:v>
                </c:pt>
                <c:pt idx="6">
                  <c:v>41.25</c:v>
                </c:pt>
                <c:pt idx="7">
                  <c:v>42.25</c:v>
                </c:pt>
                <c:pt idx="8">
                  <c:v>57.75</c:v>
                </c:pt>
                <c:pt idx="9">
                  <c:v>83</c:v>
                </c:pt>
                <c:pt idx="10">
                  <c:v>77.5</c:v>
                </c:pt>
                <c:pt idx="1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3-435A-96EC-87F29E1F9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982400"/>
        <c:axId val="64984192"/>
      </c:barChart>
      <c:catAx>
        <c:axId val="6498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984192"/>
        <c:crosses val="autoZero"/>
        <c:auto val="1"/>
        <c:lblAlgn val="ctr"/>
        <c:lblOffset val="100"/>
        <c:noMultiLvlLbl val="0"/>
      </c:catAx>
      <c:valAx>
        <c:axId val="64984192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4982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119076190434634"/>
          <c:y val="6.4646472873169214E-2"/>
          <c:w val="0.29761837229535459"/>
          <c:h val="0.1168996569664718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C</a:t>
            </a:r>
            <a:r>
              <a:rPr lang="cs-CZ" b="0"/>
              <a:t>elkový</a:t>
            </a:r>
            <a:r>
              <a:rPr lang="cs-CZ" b="0" baseline="0"/>
              <a:t> počet přijatých hovorů 2016</a:t>
            </a:r>
            <a:endParaRPr lang="en-US" b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'-- Servis 2016 --'!$B$87</c:f>
              <c:strCache>
                <c:ptCount val="1"/>
                <c:pt idx="0">
                  <c:v>CELKEM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'-- Servis 2016 --'!$C$86:$N$86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'-- Servis 2016 --'!$C$87:$N$87</c:f>
              <c:numCache>
                <c:formatCode>General</c:formatCode>
                <c:ptCount val="12"/>
                <c:pt idx="0">
                  <c:v>1158</c:v>
                </c:pt>
                <c:pt idx="1">
                  <c:v>1549</c:v>
                </c:pt>
                <c:pt idx="2">
                  <c:v>1750</c:v>
                </c:pt>
                <c:pt idx="3">
                  <c:v>1905</c:v>
                </c:pt>
                <c:pt idx="4">
                  <c:v>1930</c:v>
                </c:pt>
                <c:pt idx="5">
                  <c:v>2002</c:v>
                </c:pt>
                <c:pt idx="6">
                  <c:v>1408</c:v>
                </c:pt>
                <c:pt idx="7">
                  <c:v>1588</c:v>
                </c:pt>
                <c:pt idx="8">
                  <c:v>1643</c:v>
                </c:pt>
                <c:pt idx="9">
                  <c:v>1736</c:v>
                </c:pt>
                <c:pt idx="10">
                  <c:v>1694</c:v>
                </c:pt>
                <c:pt idx="11">
                  <c:v>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1-4612-8903-13C5D0160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08992"/>
        <c:axId val="66710912"/>
      </c:lineChart>
      <c:catAx>
        <c:axId val="66708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710912"/>
        <c:crosses val="autoZero"/>
        <c:auto val="1"/>
        <c:lblAlgn val="ctr"/>
        <c:lblOffset val="100"/>
        <c:noMultiLvlLbl val="0"/>
      </c:catAx>
      <c:valAx>
        <c:axId val="66710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0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Překročené</a:t>
            </a:r>
            <a:r>
              <a:rPr lang="cs-CZ" baseline="0"/>
              <a:t> data v GB- nefakturované - celkem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'-- Servis 2017 --'!$C$54:$N$54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'-- Servis 2017 --'!$C$58:$N$58</c:f>
              <c:numCache>
                <c:formatCode>General</c:formatCode>
                <c:ptCount val="12"/>
                <c:pt idx="0">
                  <c:v>2597</c:v>
                </c:pt>
                <c:pt idx="1">
                  <c:v>2648</c:v>
                </c:pt>
                <c:pt idx="2">
                  <c:v>2799</c:v>
                </c:pt>
                <c:pt idx="3">
                  <c:v>2856</c:v>
                </c:pt>
                <c:pt idx="4">
                  <c:v>2960</c:v>
                </c:pt>
                <c:pt idx="5">
                  <c:v>3156</c:v>
                </c:pt>
                <c:pt idx="6">
                  <c:v>3143</c:v>
                </c:pt>
                <c:pt idx="7">
                  <c:v>3089</c:v>
                </c:pt>
                <c:pt idx="8">
                  <c:v>3177</c:v>
                </c:pt>
                <c:pt idx="9">
                  <c:v>3284</c:v>
                </c:pt>
                <c:pt idx="10">
                  <c:v>3345</c:v>
                </c:pt>
                <c:pt idx="11">
                  <c:v>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1-49F3-BEE4-CF0887682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077440"/>
        <c:axId val="86078976"/>
      </c:barChart>
      <c:catAx>
        <c:axId val="8607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6078976"/>
        <c:crosses val="autoZero"/>
        <c:auto val="1"/>
        <c:lblAlgn val="ctr"/>
        <c:lblOffset val="100"/>
        <c:noMultiLvlLbl val="0"/>
      </c:catAx>
      <c:valAx>
        <c:axId val="86078976"/>
        <c:scaling>
          <c:orientation val="minMax"/>
          <c:max val="4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07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/>
              <a:t>C</a:t>
            </a:r>
            <a:r>
              <a:rPr lang="cs-CZ" b="0"/>
              <a:t>elkový</a:t>
            </a:r>
            <a:r>
              <a:rPr lang="cs-CZ" b="0" baseline="0"/>
              <a:t> počet přijatých hovorů 2017</a:t>
            </a:r>
            <a:endParaRPr lang="en-US" b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'-- Servis 2017 --'!$B$83</c:f>
              <c:strCache>
                <c:ptCount val="1"/>
                <c:pt idx="0">
                  <c:v>CELKEM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'-- Servis 2017 --'!$C$82:$N$82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'-- Servis 2017 --'!$C$83:$N$83</c:f>
              <c:numCache>
                <c:formatCode>General</c:formatCode>
                <c:ptCount val="12"/>
                <c:pt idx="0">
                  <c:v>1220</c:v>
                </c:pt>
                <c:pt idx="1">
                  <c:v>1185</c:v>
                </c:pt>
                <c:pt idx="2">
                  <c:v>1559</c:v>
                </c:pt>
                <c:pt idx="3">
                  <c:v>1353</c:v>
                </c:pt>
                <c:pt idx="4">
                  <c:v>1618</c:v>
                </c:pt>
                <c:pt idx="5">
                  <c:v>1889</c:v>
                </c:pt>
                <c:pt idx="6">
                  <c:v>1189</c:v>
                </c:pt>
                <c:pt idx="7">
                  <c:v>1247</c:v>
                </c:pt>
                <c:pt idx="8">
                  <c:v>1114</c:v>
                </c:pt>
                <c:pt idx="9">
                  <c:v>1225</c:v>
                </c:pt>
                <c:pt idx="10">
                  <c:v>1175</c:v>
                </c:pt>
                <c:pt idx="11">
                  <c:v>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F-4607-9112-A0736D52C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08992"/>
        <c:axId val="66710912"/>
      </c:lineChart>
      <c:catAx>
        <c:axId val="66708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710912"/>
        <c:crosses val="autoZero"/>
        <c:auto val="1"/>
        <c:lblAlgn val="ctr"/>
        <c:lblOffset val="100"/>
        <c:noMultiLvlLbl val="0"/>
      </c:catAx>
      <c:valAx>
        <c:axId val="66710912"/>
        <c:scaling>
          <c:orientation val="minMax"/>
          <c:max val="25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0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Zmeškané</a:t>
            </a:r>
            <a:r>
              <a:rPr lang="cs-CZ" baseline="0"/>
              <a:t> hovory</a:t>
            </a:r>
            <a:endParaRPr lang="cs-CZ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'-- Servis 2017 --'!$B$99</c:f>
              <c:strCache>
                <c:ptCount val="1"/>
                <c:pt idx="0">
                  <c:v>705 (Marwel, PVU)</c:v>
                </c:pt>
              </c:strCache>
            </c:strRef>
          </c:tx>
          <c:invertIfNegative val="0"/>
          <c:cat>
            <c:strRef>
              <c:f>'-- Servis 2017 --'!$C$98:$N$98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'-- Servis 2017 --'!$C$99:$N$99</c:f>
              <c:numCache>
                <c:formatCode>General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11</c:v>
                </c:pt>
                <c:pt idx="3">
                  <c:v>7</c:v>
                </c:pt>
                <c:pt idx="4">
                  <c:v>13</c:v>
                </c:pt>
                <c:pt idx="5">
                  <c:v>13</c:v>
                </c:pt>
                <c:pt idx="6">
                  <c:v>11</c:v>
                </c:pt>
                <c:pt idx="7">
                  <c:v>31</c:v>
                </c:pt>
                <c:pt idx="8">
                  <c:v>8</c:v>
                </c:pt>
                <c:pt idx="9">
                  <c:v>16</c:v>
                </c:pt>
                <c:pt idx="10">
                  <c:v>15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8-45B7-9F50-2971C929BF0F}"/>
            </c:ext>
          </c:extLst>
        </c:ser>
        <c:ser>
          <c:idx val="1"/>
          <c:order val="1"/>
          <c:tx>
            <c:strRef>
              <c:f>'-- Servis 2017 --'!$B$100</c:f>
              <c:strCache>
                <c:ptCount val="1"/>
                <c:pt idx="0">
                  <c:v>719 (E-ZAK)</c:v>
                </c:pt>
              </c:strCache>
            </c:strRef>
          </c:tx>
          <c:invertIfNegative val="0"/>
          <c:cat>
            <c:strRef>
              <c:f>'-- Servis 2017 --'!$C$98:$N$98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'-- Servis 2017 --'!$C$100:$N$100</c:f>
              <c:numCache>
                <c:formatCode>General</c:formatCode>
                <c:ptCount val="12"/>
                <c:pt idx="0">
                  <c:v>8</c:v>
                </c:pt>
                <c:pt idx="1">
                  <c:v>12</c:v>
                </c:pt>
                <c:pt idx="2">
                  <c:v>18</c:v>
                </c:pt>
                <c:pt idx="3">
                  <c:v>14</c:v>
                </c:pt>
                <c:pt idx="4">
                  <c:v>47</c:v>
                </c:pt>
                <c:pt idx="5">
                  <c:v>34</c:v>
                </c:pt>
                <c:pt idx="6">
                  <c:v>24</c:v>
                </c:pt>
                <c:pt idx="7">
                  <c:v>35</c:v>
                </c:pt>
                <c:pt idx="8">
                  <c:v>64</c:v>
                </c:pt>
                <c:pt idx="9">
                  <c:v>58</c:v>
                </c:pt>
                <c:pt idx="10">
                  <c:v>59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E8-45B7-9F50-2971C929BF0F}"/>
            </c:ext>
          </c:extLst>
        </c:ser>
        <c:ser>
          <c:idx val="2"/>
          <c:order val="2"/>
          <c:tx>
            <c:strRef>
              <c:f>'-- Servis 2017 --'!$B$101</c:f>
              <c:strCache>
                <c:ptCount val="1"/>
                <c:pt idx="0">
                  <c:v>739 (GEMIN)</c:v>
                </c:pt>
              </c:strCache>
            </c:strRef>
          </c:tx>
          <c:invertIfNegative val="0"/>
          <c:cat>
            <c:strRef>
              <c:f>'-- Servis 2017 --'!$C$98:$N$98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'-- Servis 2017 --'!$C$101:$N$101</c:f>
              <c:numCache>
                <c:formatCode>General</c:formatCode>
                <c:ptCount val="12"/>
                <c:pt idx="0">
                  <c:v>21</c:v>
                </c:pt>
                <c:pt idx="1">
                  <c:v>16</c:v>
                </c:pt>
                <c:pt idx="2">
                  <c:v>20</c:v>
                </c:pt>
                <c:pt idx="3">
                  <c:v>25</c:v>
                </c:pt>
                <c:pt idx="4">
                  <c:v>28</c:v>
                </c:pt>
                <c:pt idx="5">
                  <c:v>26</c:v>
                </c:pt>
                <c:pt idx="6">
                  <c:v>13</c:v>
                </c:pt>
                <c:pt idx="7">
                  <c:v>6</c:v>
                </c:pt>
                <c:pt idx="8">
                  <c:v>14</c:v>
                </c:pt>
                <c:pt idx="9">
                  <c:v>19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E8-45B7-9F50-2971C929B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784"/>
        <c:axId val="66680320"/>
      </c:barChart>
      <c:catAx>
        <c:axId val="6667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680320"/>
        <c:crosses val="autoZero"/>
        <c:auto val="1"/>
        <c:lblAlgn val="ctr"/>
        <c:lblOffset val="100"/>
        <c:noMultiLvlLbl val="0"/>
      </c:catAx>
      <c:valAx>
        <c:axId val="66680320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6667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'-- Servis 2017 --'!$P$61:$P$66</c:f>
              <c:strCache>
                <c:ptCount val="6"/>
                <c:pt idx="0">
                  <c:v>E-ZAK</c:v>
                </c:pt>
                <c:pt idx="1">
                  <c:v>Marwell</c:v>
                </c:pt>
                <c:pt idx="2">
                  <c:v>PVU</c:v>
                </c:pt>
                <c:pt idx="3">
                  <c:v>TECH</c:v>
                </c:pt>
                <c:pt idx="4">
                  <c:v>Vývoj</c:v>
                </c:pt>
                <c:pt idx="5">
                  <c:v>Ostatní</c:v>
                </c:pt>
              </c:strCache>
            </c:strRef>
          </c:cat>
          <c:val>
            <c:numRef>
              <c:f>'-- Servis 2017 --'!$Q$61:$Q$66</c:f>
              <c:numCache>
                <c:formatCode>General</c:formatCode>
                <c:ptCount val="6"/>
                <c:pt idx="0">
                  <c:v>178</c:v>
                </c:pt>
                <c:pt idx="1">
                  <c:v>65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E-4E0E-AFA5-08C6AFE1B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13"/>
        <c:axId val="469201512"/>
        <c:axId val="469202824"/>
      </c:barChart>
      <c:catAx>
        <c:axId val="46920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202824"/>
        <c:crosses val="autoZero"/>
        <c:auto val="1"/>
        <c:lblAlgn val="ctr"/>
        <c:lblOffset val="100"/>
        <c:noMultiLvlLbl val="0"/>
      </c:catAx>
      <c:valAx>
        <c:axId val="46920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201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  <a:solidFill>
            <a:schemeClr val="tx1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39611324856935E-2"/>
          <c:y val="7.0075083641626193E-2"/>
          <c:w val="0.84829898432926287"/>
          <c:h val="0.771807951272167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'-- Servis 2016 --'!$P$4</c:f>
              <c:strCache>
                <c:ptCount val="1"/>
                <c:pt idx="0">
                  <c:v>Vykázáno na QCM</c:v>
                </c:pt>
              </c:strCache>
            </c:strRef>
          </c:tx>
          <c:invertIfNegative val="0"/>
          <c:cat>
            <c:strRef>
              <c:f>'-- Servis 2016 --'!$Q$3:$AB$3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'-- Servis 2016 --'!$Q$4:$AB$4</c:f>
              <c:numCache>
                <c:formatCode>General</c:formatCode>
                <c:ptCount val="12"/>
                <c:pt idx="0">
                  <c:v>1260</c:v>
                </c:pt>
                <c:pt idx="1">
                  <c:v>1630</c:v>
                </c:pt>
                <c:pt idx="2">
                  <c:v>1465</c:v>
                </c:pt>
                <c:pt idx="3">
                  <c:v>1596</c:v>
                </c:pt>
                <c:pt idx="4">
                  <c:v>1728</c:v>
                </c:pt>
                <c:pt idx="5">
                  <c:v>1770</c:v>
                </c:pt>
                <c:pt idx="6">
                  <c:v>1558</c:v>
                </c:pt>
                <c:pt idx="7">
                  <c:v>1860.05</c:v>
                </c:pt>
                <c:pt idx="8">
                  <c:v>1864.8</c:v>
                </c:pt>
                <c:pt idx="9">
                  <c:v>1761.25</c:v>
                </c:pt>
                <c:pt idx="10">
                  <c:v>1703.6</c:v>
                </c:pt>
                <c:pt idx="11">
                  <c:v>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4-45FF-8C0C-C94343501A22}"/>
            </c:ext>
          </c:extLst>
        </c:ser>
        <c:ser>
          <c:idx val="1"/>
          <c:order val="1"/>
          <c:tx>
            <c:strRef>
              <c:f>'-- Servis 2016 --'!$P$5</c:f>
              <c:strCache>
                <c:ptCount val="1"/>
                <c:pt idx="0">
                  <c:v>Vykázáno na zákazníky</c:v>
                </c:pt>
              </c:strCache>
            </c:strRef>
          </c:tx>
          <c:invertIfNegative val="0"/>
          <c:cat>
            <c:strRef>
              <c:f>'-- Servis 2016 --'!$Q$3:$AB$3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'-- Servis 2016 --'!$Q$5:$AB$5</c:f>
              <c:numCache>
                <c:formatCode>General</c:formatCode>
                <c:ptCount val="12"/>
                <c:pt idx="0">
                  <c:v>136</c:v>
                </c:pt>
                <c:pt idx="1">
                  <c:v>158</c:v>
                </c:pt>
                <c:pt idx="2">
                  <c:v>393</c:v>
                </c:pt>
                <c:pt idx="3">
                  <c:v>275</c:v>
                </c:pt>
                <c:pt idx="4">
                  <c:v>211</c:v>
                </c:pt>
                <c:pt idx="5">
                  <c:v>170</c:v>
                </c:pt>
                <c:pt idx="6">
                  <c:v>124.5</c:v>
                </c:pt>
                <c:pt idx="7">
                  <c:v>71.75</c:v>
                </c:pt>
                <c:pt idx="8">
                  <c:v>45.5</c:v>
                </c:pt>
                <c:pt idx="9">
                  <c:v>53.25</c:v>
                </c:pt>
                <c:pt idx="10">
                  <c:v>156.25</c:v>
                </c:pt>
                <c:pt idx="11">
                  <c:v>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4-45FF-8C0C-C94343501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982400"/>
        <c:axId val="64984192"/>
      </c:barChart>
      <c:catAx>
        <c:axId val="6498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984192"/>
        <c:crosses val="autoZero"/>
        <c:auto val="1"/>
        <c:lblAlgn val="ctr"/>
        <c:lblOffset val="100"/>
        <c:noMultiLvlLbl val="0"/>
      </c:catAx>
      <c:valAx>
        <c:axId val="6498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982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79409596417503"/>
          <c:y val="0.23438789040213578"/>
          <c:w val="9.0976403312362952E-2"/>
          <c:h val="0.5122893056005598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Zmeškané</a:t>
            </a:r>
            <a:r>
              <a:rPr lang="cs-CZ" baseline="0"/>
              <a:t> hovory</a:t>
            </a:r>
            <a:endParaRPr lang="cs-CZ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'-- Servis 2016 --'!$B$102</c:f>
              <c:strCache>
                <c:ptCount val="1"/>
                <c:pt idx="0">
                  <c:v>705 (Marwel, PVU)</c:v>
                </c:pt>
              </c:strCache>
            </c:strRef>
          </c:tx>
          <c:invertIfNegative val="0"/>
          <c:val>
            <c:numRef>
              <c:f>'-- Servis 2016 --'!$C$102:$N$102</c:f>
              <c:numCache>
                <c:formatCode>General</c:formatCode>
                <c:ptCount val="12"/>
                <c:pt idx="0">
                  <c:v>16</c:v>
                </c:pt>
                <c:pt idx="1">
                  <c:v>16</c:v>
                </c:pt>
                <c:pt idx="2">
                  <c:v>44</c:v>
                </c:pt>
                <c:pt idx="3">
                  <c:v>23</c:v>
                </c:pt>
                <c:pt idx="4">
                  <c:v>12</c:v>
                </c:pt>
                <c:pt idx="5">
                  <c:v>13</c:v>
                </c:pt>
                <c:pt idx="6">
                  <c:v>9</c:v>
                </c:pt>
                <c:pt idx="7">
                  <c:v>13</c:v>
                </c:pt>
                <c:pt idx="8">
                  <c:v>20</c:v>
                </c:pt>
                <c:pt idx="9">
                  <c:v>11</c:v>
                </c:pt>
                <c:pt idx="10">
                  <c:v>25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8-494F-BAF6-D39BB5FED859}"/>
            </c:ext>
          </c:extLst>
        </c:ser>
        <c:ser>
          <c:idx val="1"/>
          <c:order val="1"/>
          <c:tx>
            <c:strRef>
              <c:f>'-- Servis 2016 --'!$B$103</c:f>
              <c:strCache>
                <c:ptCount val="1"/>
                <c:pt idx="0">
                  <c:v>719 (E-ZAK)</c:v>
                </c:pt>
              </c:strCache>
            </c:strRef>
          </c:tx>
          <c:invertIfNegative val="0"/>
          <c:val>
            <c:numRef>
              <c:f>'-- Servis 2016 --'!$C$103:$N$103</c:f>
              <c:numCache>
                <c:formatCode>General</c:formatCode>
                <c:ptCount val="12"/>
                <c:pt idx="0">
                  <c:v>21</c:v>
                </c:pt>
                <c:pt idx="1">
                  <c:v>62</c:v>
                </c:pt>
                <c:pt idx="2">
                  <c:v>93</c:v>
                </c:pt>
                <c:pt idx="3">
                  <c:v>38</c:v>
                </c:pt>
                <c:pt idx="4">
                  <c:v>29</c:v>
                </c:pt>
                <c:pt idx="5">
                  <c:v>16</c:v>
                </c:pt>
                <c:pt idx="6">
                  <c:v>12</c:v>
                </c:pt>
                <c:pt idx="7">
                  <c:v>14</c:v>
                </c:pt>
                <c:pt idx="8">
                  <c:v>30</c:v>
                </c:pt>
                <c:pt idx="9">
                  <c:v>46</c:v>
                </c:pt>
                <c:pt idx="10">
                  <c:v>40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8-494F-BAF6-D39BB5FED859}"/>
            </c:ext>
          </c:extLst>
        </c:ser>
        <c:ser>
          <c:idx val="2"/>
          <c:order val="2"/>
          <c:tx>
            <c:strRef>
              <c:f>'-- Servis 2016 --'!$B$104</c:f>
              <c:strCache>
                <c:ptCount val="1"/>
                <c:pt idx="0">
                  <c:v>739 (GEMIN)</c:v>
                </c:pt>
              </c:strCache>
            </c:strRef>
          </c:tx>
          <c:invertIfNegative val="0"/>
          <c:val>
            <c:numRef>
              <c:f>'-- Servis 2016 --'!$C$104:$N$104</c:f>
              <c:numCache>
                <c:formatCode>General</c:formatCode>
                <c:ptCount val="12"/>
                <c:pt idx="0">
                  <c:v>10</c:v>
                </c:pt>
                <c:pt idx="1">
                  <c:v>26</c:v>
                </c:pt>
                <c:pt idx="2">
                  <c:v>47</c:v>
                </c:pt>
                <c:pt idx="3">
                  <c:v>22</c:v>
                </c:pt>
                <c:pt idx="4">
                  <c:v>20</c:v>
                </c:pt>
                <c:pt idx="5">
                  <c:v>29</c:v>
                </c:pt>
                <c:pt idx="6">
                  <c:v>11</c:v>
                </c:pt>
                <c:pt idx="7">
                  <c:v>26</c:v>
                </c:pt>
                <c:pt idx="8">
                  <c:v>45</c:v>
                </c:pt>
                <c:pt idx="9">
                  <c:v>54</c:v>
                </c:pt>
                <c:pt idx="10">
                  <c:v>51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8-494F-BAF6-D39BB5FED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784"/>
        <c:axId val="66680320"/>
      </c:barChart>
      <c:catAx>
        <c:axId val="6667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66680320"/>
        <c:crosses val="autoZero"/>
        <c:auto val="1"/>
        <c:lblAlgn val="ctr"/>
        <c:lblOffset val="100"/>
        <c:noMultiLvlLbl val="0"/>
      </c:catAx>
      <c:valAx>
        <c:axId val="66680320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6667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</a:t>
            </a:r>
            <a:r>
              <a:rPr lang="cs-CZ"/>
              <a:t>elkový</a:t>
            </a:r>
            <a:r>
              <a:rPr lang="cs-CZ" baseline="0"/>
              <a:t> počet přijatých hovorů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'-- Servis 2016 --'!$B$87</c:f>
              <c:strCache>
                <c:ptCount val="1"/>
                <c:pt idx="0">
                  <c:v>CELKEM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'-- Servis 2016 --'!$C$86:$N$86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'-- Servis 2016 --'!$C$87:$N$87</c:f>
              <c:numCache>
                <c:formatCode>General</c:formatCode>
                <c:ptCount val="12"/>
                <c:pt idx="0">
                  <c:v>1158</c:v>
                </c:pt>
                <c:pt idx="1">
                  <c:v>1549</c:v>
                </c:pt>
                <c:pt idx="2">
                  <c:v>1750</c:v>
                </c:pt>
                <c:pt idx="3">
                  <c:v>1905</c:v>
                </c:pt>
                <c:pt idx="4">
                  <c:v>1930</c:v>
                </c:pt>
                <c:pt idx="5">
                  <c:v>2002</c:v>
                </c:pt>
                <c:pt idx="6">
                  <c:v>1408</c:v>
                </c:pt>
                <c:pt idx="7">
                  <c:v>1588</c:v>
                </c:pt>
                <c:pt idx="8">
                  <c:v>1643</c:v>
                </c:pt>
                <c:pt idx="9">
                  <c:v>1736</c:v>
                </c:pt>
                <c:pt idx="10">
                  <c:v>1694</c:v>
                </c:pt>
                <c:pt idx="11">
                  <c:v>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A7-480C-8BF5-4F30B3FC7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08992"/>
        <c:axId val="66710912"/>
      </c:lineChart>
      <c:catAx>
        <c:axId val="66708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710912"/>
        <c:crosses val="autoZero"/>
        <c:auto val="1"/>
        <c:lblAlgn val="ctr"/>
        <c:lblOffset val="100"/>
        <c:noMultiLvlLbl val="0"/>
      </c:catAx>
      <c:valAx>
        <c:axId val="66710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0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Překročené</a:t>
            </a:r>
            <a:r>
              <a:rPr lang="cs-CZ" baseline="0"/>
              <a:t> data v GB- nefakturované - celkem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'-- Servis 2016 --'!$B$62</c:f>
              <c:strCache>
                <c:ptCount val="1"/>
                <c:pt idx="0">
                  <c:v>GB překročeno - se zálohami</c:v>
                </c:pt>
              </c:strCache>
            </c:strRef>
          </c:tx>
          <c:invertIfNegative val="0"/>
          <c:cat>
            <c:strRef>
              <c:f>'-- Servis 2016 --'!$C$58:$N$58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'-- Servis 2016 --'!$C$62:$N$62</c:f>
              <c:numCache>
                <c:formatCode>General</c:formatCode>
                <c:ptCount val="12"/>
                <c:pt idx="2">
                  <c:v>1120</c:v>
                </c:pt>
                <c:pt idx="3">
                  <c:v>1813</c:v>
                </c:pt>
                <c:pt idx="4">
                  <c:v>2883</c:v>
                </c:pt>
                <c:pt idx="5">
                  <c:v>1971</c:v>
                </c:pt>
                <c:pt idx="6">
                  <c:v>2131</c:v>
                </c:pt>
                <c:pt idx="7">
                  <c:v>2791</c:v>
                </c:pt>
                <c:pt idx="8">
                  <c:v>2246</c:v>
                </c:pt>
                <c:pt idx="9">
                  <c:v>2318</c:v>
                </c:pt>
                <c:pt idx="10">
                  <c:v>2329</c:v>
                </c:pt>
                <c:pt idx="11">
                  <c:v>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A-43DF-B10C-96248C2BB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077440"/>
        <c:axId val="86078976"/>
      </c:barChart>
      <c:catAx>
        <c:axId val="8607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6078976"/>
        <c:crosses val="autoZero"/>
        <c:auto val="1"/>
        <c:lblAlgn val="ctr"/>
        <c:lblOffset val="100"/>
        <c:noMultiLvlLbl val="0"/>
      </c:catAx>
      <c:valAx>
        <c:axId val="8607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07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Servisní</a:t>
            </a:r>
            <a:r>
              <a:rPr lang="cs-CZ" baseline="0"/>
              <a:t> smlouvy dle produktu</a:t>
            </a:r>
            <a:endParaRPr lang="cs-CZ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'-- Servis 2016 --'!$P$67:$P$72</c:f>
              <c:strCache>
                <c:ptCount val="6"/>
                <c:pt idx="0">
                  <c:v>E-ZAK</c:v>
                </c:pt>
                <c:pt idx="1">
                  <c:v>Marwell</c:v>
                </c:pt>
                <c:pt idx="2">
                  <c:v>PVU</c:v>
                </c:pt>
                <c:pt idx="3">
                  <c:v>TECH</c:v>
                </c:pt>
                <c:pt idx="4">
                  <c:v>Vývoj</c:v>
                </c:pt>
                <c:pt idx="5">
                  <c:v>Ostatní</c:v>
                </c:pt>
              </c:strCache>
            </c:strRef>
          </c:cat>
          <c:val>
            <c:numRef>
              <c:f>'-- Servis 2016 --'!$Q$67:$Q$72</c:f>
              <c:numCache>
                <c:formatCode>General</c:formatCode>
                <c:ptCount val="6"/>
                <c:pt idx="0">
                  <c:v>174</c:v>
                </c:pt>
                <c:pt idx="1">
                  <c:v>71</c:v>
                </c:pt>
                <c:pt idx="2">
                  <c:v>2</c:v>
                </c:pt>
                <c:pt idx="3">
                  <c:v>9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E-40B2-9DC1-FA6BE5EF99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Přehled hovorů v prosinci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'-- Servis 2016 --'!$D$109</c:f>
              <c:strCache>
                <c:ptCount val="1"/>
                <c:pt idx="0">
                  <c:v>Přijaté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'-- Servis 2016 --'!$C$110:$C$130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'-- Servis 2016 --'!$D$110:$D$130</c:f>
              <c:numCache>
                <c:formatCode>General</c:formatCode>
                <c:ptCount val="21"/>
                <c:pt idx="0">
                  <c:v>58</c:v>
                </c:pt>
                <c:pt idx="1">
                  <c:v>57</c:v>
                </c:pt>
                <c:pt idx="2">
                  <c:v>65</c:v>
                </c:pt>
                <c:pt idx="3">
                  <c:v>67</c:v>
                </c:pt>
                <c:pt idx="4">
                  <c:v>72</c:v>
                </c:pt>
                <c:pt idx="5">
                  <c:v>56</c:v>
                </c:pt>
                <c:pt idx="6">
                  <c:v>62</c:v>
                </c:pt>
                <c:pt idx="7">
                  <c:v>88</c:v>
                </c:pt>
                <c:pt idx="8">
                  <c:v>67</c:v>
                </c:pt>
                <c:pt idx="9">
                  <c:v>72</c:v>
                </c:pt>
                <c:pt idx="10">
                  <c:v>52</c:v>
                </c:pt>
                <c:pt idx="11">
                  <c:v>61</c:v>
                </c:pt>
                <c:pt idx="12">
                  <c:v>62</c:v>
                </c:pt>
                <c:pt idx="13">
                  <c:v>66</c:v>
                </c:pt>
                <c:pt idx="14">
                  <c:v>48</c:v>
                </c:pt>
                <c:pt idx="15">
                  <c:v>46</c:v>
                </c:pt>
                <c:pt idx="16">
                  <c:v>28</c:v>
                </c:pt>
                <c:pt idx="17">
                  <c:v>27</c:v>
                </c:pt>
                <c:pt idx="18">
                  <c:v>18</c:v>
                </c:pt>
                <c:pt idx="19">
                  <c:v>22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C-4DA3-9EA6-63B3E0E57FDE}"/>
            </c:ext>
          </c:extLst>
        </c:ser>
        <c:ser>
          <c:idx val="1"/>
          <c:order val="1"/>
          <c:tx>
            <c:strRef>
              <c:f>'-- Servis 2016 --'!$E$109</c:f>
              <c:strCache>
                <c:ptCount val="1"/>
                <c:pt idx="0">
                  <c:v>Zmeškané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'-- Servis 2016 --'!$C$110:$C$130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'-- Servis 2016 --'!$E$110:$E$130</c:f>
              <c:numCache>
                <c:formatCode>General</c:formatCode>
                <c:ptCount val="21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C-4DA3-9EA6-63B3E0E57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282704"/>
        <c:axId val="465283032"/>
      </c:barChart>
      <c:catAx>
        <c:axId val="46528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5283032"/>
        <c:crosses val="autoZero"/>
        <c:auto val="1"/>
        <c:lblAlgn val="ctr"/>
        <c:lblOffset val="100"/>
        <c:noMultiLvlLbl val="0"/>
      </c:catAx>
      <c:valAx>
        <c:axId val="46528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528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prstDash val="dash"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102393</xdr:colOff>
      <xdr:row>9</xdr:row>
      <xdr:rowOff>35720</xdr:rowOff>
    </xdr:from>
    <xdr:to>
      <xdr:col>28</xdr:col>
      <xdr:colOff>23813</xdr:colOff>
      <xdr:row>19</xdr:row>
      <xdr:rowOff>47626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63B68B8-DC8E-470F-8D30-AD794AAA0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17371</xdr:colOff>
      <xdr:row>77</xdr:row>
      <xdr:rowOff>100218</xdr:rowOff>
    </xdr:from>
    <xdr:to>
      <xdr:col>31</xdr:col>
      <xdr:colOff>322171</xdr:colOff>
      <xdr:row>87</xdr:row>
      <xdr:rowOff>168085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A8F8510-7826-494B-A823-72C0224A0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11907</xdr:colOff>
      <xdr:row>59</xdr:row>
      <xdr:rowOff>71437</xdr:rowOff>
    </xdr:from>
    <xdr:to>
      <xdr:col>14</xdr:col>
      <xdr:colOff>0</xdr:colOff>
      <xdr:row>69</xdr:row>
      <xdr:rowOff>11906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A99385E0-F4AF-449A-8F7E-DA1E998EC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11906</xdr:colOff>
      <xdr:row>67</xdr:row>
      <xdr:rowOff>77740</xdr:rowOff>
    </xdr:from>
    <xdr:to>
      <xdr:col>31</xdr:col>
      <xdr:colOff>316706</xdr:colOff>
      <xdr:row>77</xdr:row>
      <xdr:rowOff>99382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B2E385A0-36C2-47CB-93FB-3BDF29138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11906</xdr:colOff>
      <xdr:row>88</xdr:row>
      <xdr:rowOff>119061</xdr:rowOff>
    </xdr:from>
    <xdr:to>
      <xdr:col>31</xdr:col>
      <xdr:colOff>329314</xdr:colOff>
      <xdr:row>102</xdr:row>
      <xdr:rowOff>174250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C653FC78-7A38-4667-9CBC-2DDA7FA53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71437</xdr:colOff>
      <xdr:row>89</xdr:row>
      <xdr:rowOff>95250</xdr:rowOff>
    </xdr:from>
    <xdr:to>
      <xdr:col>6</xdr:col>
      <xdr:colOff>738188</xdr:colOff>
      <xdr:row>89</xdr:row>
      <xdr:rowOff>107156</xdr:rowOff>
    </xdr:to>
    <xdr:cxnSp macro="">
      <xdr:nvCxnSpPr>
        <xdr:cNvPr id="7" name="Přímá spojnice 6">
          <a:extLst>
            <a:ext uri="{FF2B5EF4-FFF2-40B4-BE49-F238E27FC236}">
              <a16:creationId xmlns:a16="http://schemas.microsoft.com/office/drawing/2014/main" id="{714CF4C1-4EF0-45F5-98DB-412FF77728AB}"/>
            </a:ext>
          </a:extLst>
        </xdr:cNvPr>
        <xdr:cNvCxnSpPr/>
      </xdr:nvCxnSpPr>
      <xdr:spPr>
        <a:xfrm>
          <a:off x="2143125" y="18478500"/>
          <a:ext cx="3893344" cy="119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59532</xdr:colOff>
      <xdr:row>101</xdr:row>
      <xdr:rowOff>95250</xdr:rowOff>
    </xdr:from>
    <xdr:to>
      <xdr:col>6</xdr:col>
      <xdr:colOff>726283</xdr:colOff>
      <xdr:row>101</xdr:row>
      <xdr:rowOff>107156</xdr:rowOff>
    </xdr:to>
    <xdr:cxnSp macro="">
      <xdr:nvCxnSpPr>
        <xdr:cNvPr id="10" name="Přímá spojnice 9">
          <a:extLst>
            <a:ext uri="{FF2B5EF4-FFF2-40B4-BE49-F238E27FC236}">
              <a16:creationId xmlns:a16="http://schemas.microsoft.com/office/drawing/2014/main" id="{90251CED-BFF8-4884-BFA9-3B15B51F851F}"/>
            </a:ext>
          </a:extLst>
        </xdr:cNvPr>
        <xdr:cNvCxnSpPr/>
      </xdr:nvCxnSpPr>
      <xdr:spPr>
        <a:xfrm>
          <a:off x="2131220" y="20907375"/>
          <a:ext cx="3893344" cy="119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130967</xdr:colOff>
      <xdr:row>58</xdr:row>
      <xdr:rowOff>9525</xdr:rowOff>
    </xdr:from>
    <xdr:to>
      <xdr:col>27</xdr:col>
      <xdr:colOff>607218</xdr:colOff>
      <xdr:row>66</xdr:row>
      <xdr:rowOff>23812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4C4A3C0-85CA-4BF0-B48E-FD32391A2F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130968</xdr:colOff>
      <xdr:row>8</xdr:row>
      <xdr:rowOff>178595</xdr:rowOff>
    </xdr:from>
    <xdr:to>
      <xdr:col>28</xdr:col>
      <xdr:colOff>23813</xdr:colOff>
      <xdr:row>19</xdr:row>
      <xdr:rowOff>1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16667</xdr:colOff>
      <xdr:row>81</xdr:row>
      <xdr:rowOff>98819</xdr:rowOff>
    </xdr:from>
    <xdr:to>
      <xdr:col>31</xdr:col>
      <xdr:colOff>321468</xdr:colOff>
      <xdr:row>95</xdr:row>
      <xdr:rowOff>79769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16670</xdr:colOff>
      <xdr:row>95</xdr:row>
      <xdr:rowOff>110724</xdr:rowOff>
    </xdr:from>
    <xdr:to>
      <xdr:col>31</xdr:col>
      <xdr:colOff>321470</xdr:colOff>
      <xdr:row>105</xdr:row>
      <xdr:rowOff>83341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11907</xdr:colOff>
      <xdr:row>63</xdr:row>
      <xdr:rowOff>71437</xdr:rowOff>
    </xdr:from>
    <xdr:to>
      <xdr:col>14</xdr:col>
      <xdr:colOff>0</xdr:colOff>
      <xdr:row>73</xdr:row>
      <xdr:rowOff>11906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95249</xdr:colOff>
      <xdr:row>64</xdr:row>
      <xdr:rowOff>15477</xdr:rowOff>
    </xdr:from>
    <xdr:to>
      <xdr:col>23</xdr:col>
      <xdr:colOff>369094</xdr:colOff>
      <xdr:row>80</xdr:row>
      <xdr:rowOff>178594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178594</xdr:colOff>
      <xdr:row>106</xdr:row>
      <xdr:rowOff>188119</xdr:rowOff>
    </xdr:from>
    <xdr:to>
      <xdr:col>15</xdr:col>
      <xdr:colOff>1</xdr:colOff>
      <xdr:row>130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307561CB-6D4C-442D-B2CD-C6EBC20A7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0.04101</cdr:x>
      <cdr:y>0.229</cdr:y>
    </cdr:from>
    <cdr:to>
      <cdr:x>0.9828</cdr:x>
      <cdr:y>0.229</cdr:y>
    </cdr:to>
    <cdr:cxnSp macro="">
      <cdr:nvCxnSpPr>
        <cdr:cNvPr id="3" name="Přímá spojnice 2">
          <a:extLst xmlns:a="http://schemas.openxmlformats.org/drawingml/2006/main">
            <a:ext uri="{FF2B5EF4-FFF2-40B4-BE49-F238E27FC236}">
              <a16:creationId xmlns:a16="http://schemas.microsoft.com/office/drawing/2014/main" id="{1A4C3E0F-C724-40B7-A076-7ACA37B727DE}"/>
            </a:ext>
          </a:extLst>
        </cdr:cNvPr>
        <cdr:cNvCxnSpPr/>
      </cdr:nvCxnSpPr>
      <cdr:spPr>
        <a:xfrm xmlns:a="http://schemas.openxmlformats.org/drawingml/2006/main">
          <a:off x="369095" y="1014836"/>
          <a:ext cx="847725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vykazy.brno.qcm.cz/index.php?m=project&amp;a=status&amp;id=1845" TargetMode="External"/><Relationship Id="rId21" Type="http://schemas.openxmlformats.org/officeDocument/2006/relationships/hyperlink" Target="http://vykazy.brno.qcm.cz/index.php?m=project&amp;a=status&amp;id=3032" TargetMode="External"/><Relationship Id="rId42" Type="http://schemas.openxmlformats.org/officeDocument/2006/relationships/hyperlink" Target="http://vykazy.brno.qcm.cz/index.php?m=project&amp;a=status&amp;id=509" TargetMode="External"/><Relationship Id="rId63" Type="http://schemas.openxmlformats.org/officeDocument/2006/relationships/hyperlink" Target="http://vykazy.brno.qcm.cz/index.php?m=project&amp;a=status&amp;id=4043" TargetMode="External"/><Relationship Id="rId84" Type="http://schemas.openxmlformats.org/officeDocument/2006/relationships/hyperlink" Target="http://vykazy.brno.qcm.cz/index.php?m=project&amp;a=status&amp;id=2159" TargetMode="External"/><Relationship Id="rId138" Type="http://schemas.openxmlformats.org/officeDocument/2006/relationships/hyperlink" Target="http://vykazy.brno.qcm.cz/index.php?m=project&amp;a=status&amp;id=2735" TargetMode="External"/><Relationship Id="rId159" Type="http://schemas.openxmlformats.org/officeDocument/2006/relationships/hyperlink" Target="http://vykazy.brno.qcm.cz/index.php?m=project&amp;a=status&amp;id=4395" TargetMode="External"/><Relationship Id="rId170" Type="http://schemas.openxmlformats.org/officeDocument/2006/relationships/hyperlink" Target="http://vykazy.brno.qcm.cz/index.php?m=project&amp;a=status&amp;id=1222" TargetMode="External"/><Relationship Id="rId191" Type="http://schemas.openxmlformats.org/officeDocument/2006/relationships/hyperlink" Target="http://vykazy.brno.qcm.cz/index.php?m=project&amp;a=status&amp;id=3175" TargetMode="External"/><Relationship Id="rId205" Type="http://schemas.openxmlformats.org/officeDocument/2006/relationships/hyperlink" Target="http://vykazy.brno.qcm.cz/index.php?m=project&amp;a=status&amp;id=1010" TargetMode="External"/><Relationship Id="rId226" Type="http://schemas.openxmlformats.org/officeDocument/2006/relationships/hyperlink" Target="http://vykazy.brno.qcm.cz/index.php?m=project&amp;a=status&amp;id=1803" TargetMode="External"/><Relationship Id="rId247" Type="http://schemas.openxmlformats.org/officeDocument/2006/relationships/hyperlink" Target="http://vykazy.brno.qcm.cz/index.php?m=project&amp;a=status&amp;id=2633" TargetMode="External"/><Relationship Id="rId107" Type="http://schemas.openxmlformats.org/officeDocument/2006/relationships/hyperlink" Target="http://vykazy.brno.qcm.cz/index.php?m=project&amp;a=status&amp;id=4055" TargetMode="External"/><Relationship Id="rId268" Type="http://schemas.openxmlformats.org/officeDocument/2006/relationships/hyperlink" Target="http://vykazy.brno.qcm.cz/index.php?m=project&amp;a=status&amp;id=2650" TargetMode="External"/><Relationship Id="rId11" Type="http://schemas.openxmlformats.org/officeDocument/2006/relationships/hyperlink" Target="http://vykazy.brno.qcm.cz/index.php?m=project&amp;a=status&amp;id=1377" TargetMode="External"/><Relationship Id="rId32" Type="http://schemas.openxmlformats.org/officeDocument/2006/relationships/hyperlink" Target="http://vykazy.brno.qcm.cz/index.php?m=project&amp;a=status&amp;id=2296" TargetMode="External"/><Relationship Id="rId53" Type="http://schemas.openxmlformats.org/officeDocument/2006/relationships/hyperlink" Target="http://vykazy.brno.qcm.cz/index.php?m=project&amp;a=status&amp;id=3578" TargetMode="External"/><Relationship Id="rId74" Type="http://schemas.openxmlformats.org/officeDocument/2006/relationships/hyperlink" Target="http://vykazy.brno.qcm.cz/index.php?m=project&amp;a=status&amp;id=1998" TargetMode="External"/><Relationship Id="rId128" Type="http://schemas.openxmlformats.org/officeDocument/2006/relationships/hyperlink" Target="http://vykazy.brno.qcm.cz/index.php?m=project&amp;a=status&amp;id=4298" TargetMode="External"/><Relationship Id="rId149" Type="http://schemas.openxmlformats.org/officeDocument/2006/relationships/hyperlink" Target="http://vykazy.brno.qcm.cz/index.php?m=project&amp;a=status&amp;id=4295" TargetMode="External"/><Relationship Id="rId5" Type="http://schemas.openxmlformats.org/officeDocument/2006/relationships/hyperlink" Target="http://vykazy.brno.qcm.cz/index.php?m=config" TargetMode="External"/><Relationship Id="rId95" Type="http://schemas.openxmlformats.org/officeDocument/2006/relationships/hyperlink" Target="http://vykazy.brno.qcm.cz/index.php?m=project&amp;a=status&amp;id=2551" TargetMode="External"/><Relationship Id="rId160" Type="http://schemas.openxmlformats.org/officeDocument/2006/relationships/hyperlink" Target="http://vykazy.brno.qcm.cz/index.php?m=project&amp;a=status&amp;id=5031" TargetMode="External"/><Relationship Id="rId181" Type="http://schemas.openxmlformats.org/officeDocument/2006/relationships/hyperlink" Target="http://vykazy.brno.qcm.cz/index.php?m=project&amp;a=status&amp;id=2803" TargetMode="External"/><Relationship Id="rId216" Type="http://schemas.openxmlformats.org/officeDocument/2006/relationships/hyperlink" Target="http://vykazy.brno.qcm.cz/index.php?m=project&amp;a=status&amp;id=4587" TargetMode="External"/><Relationship Id="rId237" Type="http://schemas.openxmlformats.org/officeDocument/2006/relationships/hyperlink" Target="http://vykazy.brno.qcm.cz/index.php?m=project&amp;a=status&amp;id=1945" TargetMode="External"/><Relationship Id="rId258" Type="http://schemas.openxmlformats.org/officeDocument/2006/relationships/hyperlink" Target="http://vykazy.brno.qcm.cz/index.php?m=project&amp;a=status&amp;id=4457" TargetMode="External"/><Relationship Id="rId22" Type="http://schemas.openxmlformats.org/officeDocument/2006/relationships/hyperlink" Target="http://vykazy.brno.qcm.cz/index.php?m=project&amp;a=status&amp;id=3829" TargetMode="External"/><Relationship Id="rId43" Type="http://schemas.openxmlformats.org/officeDocument/2006/relationships/hyperlink" Target="http://vykazy.brno.qcm.cz/index.php?m=project&amp;a=status&amp;id=1338" TargetMode="External"/><Relationship Id="rId64" Type="http://schemas.openxmlformats.org/officeDocument/2006/relationships/hyperlink" Target="http://vykazy.brno.qcm.cz/index.php?m=project&amp;a=status&amp;id=1166" TargetMode="External"/><Relationship Id="rId118" Type="http://schemas.openxmlformats.org/officeDocument/2006/relationships/hyperlink" Target="http://vykazy.brno.qcm.cz/index.php?m=project&amp;a=status&amp;id=3383" TargetMode="External"/><Relationship Id="rId139" Type="http://schemas.openxmlformats.org/officeDocument/2006/relationships/hyperlink" Target="http://vykazy.brno.qcm.cz/index.php?m=project&amp;a=status&amp;id=2109" TargetMode="External"/><Relationship Id="rId85" Type="http://schemas.openxmlformats.org/officeDocument/2006/relationships/hyperlink" Target="http://vykazy.brno.qcm.cz/index.php?m=project&amp;a=status&amp;id=1510" TargetMode="External"/><Relationship Id="rId150" Type="http://schemas.openxmlformats.org/officeDocument/2006/relationships/hyperlink" Target="http://vykazy.brno.qcm.cz/index.php?m=project&amp;a=status&amp;id=2619" TargetMode="External"/><Relationship Id="rId171" Type="http://schemas.openxmlformats.org/officeDocument/2006/relationships/hyperlink" Target="http://vykazy.brno.qcm.cz/index.php?m=project&amp;a=status&amp;id=3382" TargetMode="External"/><Relationship Id="rId192" Type="http://schemas.openxmlformats.org/officeDocument/2006/relationships/hyperlink" Target="http://vykazy.brno.qcm.cz/index.php?m=project&amp;a=status&amp;id=2085" TargetMode="External"/><Relationship Id="rId206" Type="http://schemas.openxmlformats.org/officeDocument/2006/relationships/hyperlink" Target="http://vykazy.brno.qcm.cz/index.php?m=project&amp;a=status&amp;id=3314" TargetMode="External"/><Relationship Id="rId227" Type="http://schemas.openxmlformats.org/officeDocument/2006/relationships/hyperlink" Target="http://vykazy.brno.qcm.cz/index.php?m=project&amp;a=status&amp;id=3489" TargetMode="External"/><Relationship Id="rId248" Type="http://schemas.openxmlformats.org/officeDocument/2006/relationships/hyperlink" Target="http://vykazy.brno.qcm.cz/index.php?m=project&amp;a=status&amp;id=3884" TargetMode="External"/><Relationship Id="rId269" Type="http://schemas.openxmlformats.org/officeDocument/2006/relationships/hyperlink" Target="http://vykazy.brno.qcm.cz/index.php?m=project&amp;a=status&amp;id=3347" TargetMode="External"/><Relationship Id="rId12" Type="http://schemas.openxmlformats.org/officeDocument/2006/relationships/hyperlink" Target="http://vykazy.brno.qcm.cz/index.php?m=project&amp;a=status&amp;id=3343" TargetMode="External"/><Relationship Id="rId33" Type="http://schemas.openxmlformats.org/officeDocument/2006/relationships/hyperlink" Target="http://vykazy.brno.qcm.cz/index.php?m=project&amp;a=status&amp;id=2901" TargetMode="External"/><Relationship Id="rId108" Type="http://schemas.openxmlformats.org/officeDocument/2006/relationships/hyperlink" Target="http://vykazy.brno.qcm.cz/index.php?m=project&amp;a=status&amp;id=3387" TargetMode="External"/><Relationship Id="rId129" Type="http://schemas.openxmlformats.org/officeDocument/2006/relationships/hyperlink" Target="http://vykazy.brno.qcm.cz/index.php?m=project&amp;a=status&amp;id=3317" TargetMode="External"/><Relationship Id="rId54" Type="http://schemas.openxmlformats.org/officeDocument/2006/relationships/hyperlink" Target="http://vykazy.brno.qcm.cz/index.php?m=project&amp;a=status&amp;id=4400" TargetMode="External"/><Relationship Id="rId75" Type="http://schemas.openxmlformats.org/officeDocument/2006/relationships/hyperlink" Target="http://vykazy.brno.qcm.cz/index.php?m=project&amp;a=status&amp;id=2741" TargetMode="External"/><Relationship Id="rId96" Type="http://schemas.openxmlformats.org/officeDocument/2006/relationships/hyperlink" Target="http://vykazy.brno.qcm.cz/index.php?m=project&amp;a=status&amp;id=3426" TargetMode="External"/><Relationship Id="rId140" Type="http://schemas.openxmlformats.org/officeDocument/2006/relationships/hyperlink" Target="http://vykazy.brno.qcm.cz/index.php?m=project&amp;a=status&amp;id=4997" TargetMode="External"/><Relationship Id="rId161" Type="http://schemas.openxmlformats.org/officeDocument/2006/relationships/hyperlink" Target="http://vykazy.brno.qcm.cz/index.php?m=project&amp;a=status&amp;id=3491" TargetMode="External"/><Relationship Id="rId182" Type="http://schemas.openxmlformats.org/officeDocument/2006/relationships/hyperlink" Target="http://vykazy.brno.qcm.cz/index.php?m=project&amp;a=status&amp;id=5078" TargetMode="External"/><Relationship Id="rId217" Type="http://schemas.openxmlformats.org/officeDocument/2006/relationships/hyperlink" Target="http://vykazy.brno.qcm.cz/index.php?m=project&amp;a=status&amp;id=2023" TargetMode="External"/><Relationship Id="rId6" Type="http://schemas.openxmlformats.org/officeDocument/2006/relationships/hyperlink" Target="http://vykazy.brno.qcm.cz/index.php?m=project&amp;a=status&amp;id=1374" TargetMode="External"/><Relationship Id="rId238" Type="http://schemas.openxmlformats.org/officeDocument/2006/relationships/hyperlink" Target="http://vykazy.brno.qcm.cz/index.php?m=project&amp;a=status&amp;id=4621" TargetMode="External"/><Relationship Id="rId259" Type="http://schemas.openxmlformats.org/officeDocument/2006/relationships/hyperlink" Target="http://vykazy.brno.qcm.cz/index.php?m=project&amp;a=status&amp;id=3129" TargetMode="External"/><Relationship Id="rId23" Type="http://schemas.openxmlformats.org/officeDocument/2006/relationships/hyperlink" Target="http://vykazy.brno.qcm.cz/index.php?m=project&amp;a=status&amp;id=1276" TargetMode="External"/><Relationship Id="rId119" Type="http://schemas.openxmlformats.org/officeDocument/2006/relationships/hyperlink" Target="http://vykazy.brno.qcm.cz/index.php?m=project&amp;a=status&amp;id=3901" TargetMode="External"/><Relationship Id="rId270" Type="http://schemas.openxmlformats.org/officeDocument/2006/relationships/hyperlink" Target="http://vykazy.brno.qcm.cz/index.php?m=project&amp;a=status&amp;id=2697" TargetMode="External"/><Relationship Id="rId44" Type="http://schemas.openxmlformats.org/officeDocument/2006/relationships/hyperlink" Target="http://vykazy.brno.qcm.cz/index.php?m=project&amp;a=status&amp;id=2413" TargetMode="External"/><Relationship Id="rId60" Type="http://schemas.openxmlformats.org/officeDocument/2006/relationships/hyperlink" Target="http://vykazy.brno.qcm.cz/index.php?m=project&amp;a=status&amp;id=2565" TargetMode="External"/><Relationship Id="rId65" Type="http://schemas.openxmlformats.org/officeDocument/2006/relationships/hyperlink" Target="http://vykazy.brno.qcm.cz/index.php?m=project&amp;a=status&amp;id=3425" TargetMode="External"/><Relationship Id="rId81" Type="http://schemas.openxmlformats.org/officeDocument/2006/relationships/hyperlink" Target="http://vykazy.brno.qcm.cz/index.php?m=project&amp;a=status&amp;id=3297" TargetMode="External"/><Relationship Id="rId86" Type="http://schemas.openxmlformats.org/officeDocument/2006/relationships/hyperlink" Target="http://vykazy.brno.qcm.cz/index.php?m=project&amp;a=status&amp;id=3373" TargetMode="External"/><Relationship Id="rId130" Type="http://schemas.openxmlformats.org/officeDocument/2006/relationships/hyperlink" Target="http://vykazy.brno.qcm.cz/index.php?m=project&amp;a=status&amp;id=4267" TargetMode="External"/><Relationship Id="rId135" Type="http://schemas.openxmlformats.org/officeDocument/2006/relationships/hyperlink" Target="http://vykazy.brno.qcm.cz/index.php?m=project&amp;a=status&amp;id=2677" TargetMode="External"/><Relationship Id="rId151" Type="http://schemas.openxmlformats.org/officeDocument/2006/relationships/hyperlink" Target="http://vykazy.brno.qcm.cz/index.php?m=project&amp;a=status&amp;id=1841" TargetMode="External"/><Relationship Id="rId156" Type="http://schemas.openxmlformats.org/officeDocument/2006/relationships/hyperlink" Target="http://vykazy.brno.qcm.cz/index.php?m=project&amp;a=status&amp;id=3374" TargetMode="External"/><Relationship Id="rId177" Type="http://schemas.openxmlformats.org/officeDocument/2006/relationships/hyperlink" Target="http://vykazy.brno.qcm.cz/index.php?m=project&amp;a=status&amp;id=4659" TargetMode="External"/><Relationship Id="rId198" Type="http://schemas.openxmlformats.org/officeDocument/2006/relationships/hyperlink" Target="http://vykazy.brno.qcm.cz/index.php?m=project&amp;a=status&amp;id=3533" TargetMode="External"/><Relationship Id="rId172" Type="http://schemas.openxmlformats.org/officeDocument/2006/relationships/hyperlink" Target="http://vykazy.brno.qcm.cz/index.php?m=project&amp;a=status&amp;id=2498" TargetMode="External"/><Relationship Id="rId193" Type="http://schemas.openxmlformats.org/officeDocument/2006/relationships/hyperlink" Target="http://vykazy.brno.qcm.cz/index.php?m=project&amp;a=status&amp;id=4764" TargetMode="External"/><Relationship Id="rId202" Type="http://schemas.openxmlformats.org/officeDocument/2006/relationships/hyperlink" Target="http://vykazy.brno.qcm.cz/index.php?m=project&amp;a=status&amp;id=4017" TargetMode="External"/><Relationship Id="rId207" Type="http://schemas.openxmlformats.org/officeDocument/2006/relationships/hyperlink" Target="http://vykazy.brno.qcm.cz/index.php?m=project&amp;a=status&amp;id=2279" TargetMode="External"/><Relationship Id="rId223" Type="http://schemas.openxmlformats.org/officeDocument/2006/relationships/hyperlink" Target="http://vykazy.brno.qcm.cz/index.php?m=project&amp;a=status&amp;id=4068" TargetMode="External"/><Relationship Id="rId228" Type="http://schemas.openxmlformats.org/officeDocument/2006/relationships/hyperlink" Target="http://vykazy.brno.qcm.cz/index.php?m=project&amp;a=status&amp;id=2430" TargetMode="External"/><Relationship Id="rId244" Type="http://schemas.openxmlformats.org/officeDocument/2006/relationships/hyperlink" Target="http://vykazy.brno.qcm.cz/index.php?m=project&amp;a=status&amp;id=5095" TargetMode="External"/><Relationship Id="rId249" Type="http://schemas.openxmlformats.org/officeDocument/2006/relationships/hyperlink" Target="http://vykazy.brno.qcm.cz/index.php?m=project&amp;a=status&amp;id=4372" TargetMode="External"/><Relationship Id="rId13" Type="http://schemas.openxmlformats.org/officeDocument/2006/relationships/hyperlink" Target="http://vykazy.brno.qcm.cz/index.php?m=project&amp;a=status&amp;id=2972" TargetMode="External"/><Relationship Id="rId18" Type="http://schemas.openxmlformats.org/officeDocument/2006/relationships/hyperlink" Target="http://vykazy.brno.qcm.cz/index.php?m=project&amp;a=status&amp;id=2671" TargetMode="External"/><Relationship Id="rId39" Type="http://schemas.openxmlformats.org/officeDocument/2006/relationships/hyperlink" Target="http://vykazy.brno.qcm.cz/index.php?m=project&amp;a=status&amp;id=959" TargetMode="External"/><Relationship Id="rId109" Type="http://schemas.openxmlformats.org/officeDocument/2006/relationships/hyperlink" Target="http://vykazy.brno.qcm.cz/index.php?m=project&amp;a=status&amp;id=2585" TargetMode="External"/><Relationship Id="rId260" Type="http://schemas.openxmlformats.org/officeDocument/2006/relationships/hyperlink" Target="http://vykazy.brno.qcm.cz/index.php?m=project&amp;a=status&amp;id=2731" TargetMode="External"/><Relationship Id="rId265" Type="http://schemas.openxmlformats.org/officeDocument/2006/relationships/hyperlink" Target="http://vykazy.brno.qcm.cz/index.php?m=project&amp;a=status&amp;id=3183" TargetMode="External"/><Relationship Id="rId34" Type="http://schemas.openxmlformats.org/officeDocument/2006/relationships/hyperlink" Target="http://vykazy.brno.qcm.cz/index.php?m=project&amp;a=status&amp;id=2581" TargetMode="External"/><Relationship Id="rId50" Type="http://schemas.openxmlformats.org/officeDocument/2006/relationships/hyperlink" Target="http://vykazy.brno.qcm.cz/index.php?m=project&amp;a=status&amp;id=2617" TargetMode="External"/><Relationship Id="rId55" Type="http://schemas.openxmlformats.org/officeDocument/2006/relationships/hyperlink" Target="http://vykazy.brno.qcm.cz/index.php?m=project&amp;a=status&amp;id=3223" TargetMode="External"/><Relationship Id="rId76" Type="http://schemas.openxmlformats.org/officeDocument/2006/relationships/hyperlink" Target="http://vykazy.brno.qcm.cz/index.php?m=project&amp;a=status&amp;id=4979" TargetMode="External"/><Relationship Id="rId97" Type="http://schemas.openxmlformats.org/officeDocument/2006/relationships/hyperlink" Target="http://vykazy.brno.qcm.cz/index.php?m=project&amp;a=status&amp;id=3686" TargetMode="External"/><Relationship Id="rId104" Type="http://schemas.openxmlformats.org/officeDocument/2006/relationships/hyperlink" Target="http://vykazy.brno.qcm.cz/index.php?m=project&amp;a=status&amp;id=5006" TargetMode="External"/><Relationship Id="rId120" Type="http://schemas.openxmlformats.org/officeDocument/2006/relationships/hyperlink" Target="http://vykazy.brno.qcm.cz/index.php?m=project&amp;a=status&amp;id=530" TargetMode="External"/><Relationship Id="rId125" Type="http://schemas.openxmlformats.org/officeDocument/2006/relationships/hyperlink" Target="http://vykazy.brno.qcm.cz/index.php?m=project&amp;a=status&amp;id=4060" TargetMode="External"/><Relationship Id="rId141" Type="http://schemas.openxmlformats.org/officeDocument/2006/relationships/hyperlink" Target="http://vykazy.brno.qcm.cz/index.php?m=project&amp;a=status&amp;id=3680" TargetMode="External"/><Relationship Id="rId146" Type="http://schemas.openxmlformats.org/officeDocument/2006/relationships/hyperlink" Target="http://vykazy.brno.qcm.cz/index.php?m=project&amp;a=status&amp;id=3622" TargetMode="External"/><Relationship Id="rId167" Type="http://schemas.openxmlformats.org/officeDocument/2006/relationships/hyperlink" Target="http://vykazy.brno.qcm.cz/index.php?m=project&amp;a=status&amp;id=3446" TargetMode="External"/><Relationship Id="rId188" Type="http://schemas.openxmlformats.org/officeDocument/2006/relationships/hyperlink" Target="http://vykazy.brno.qcm.cz/index.php?m=project&amp;a=status&amp;id=4396" TargetMode="External"/><Relationship Id="rId7" Type="http://schemas.openxmlformats.org/officeDocument/2006/relationships/hyperlink" Target="http://vykazy.brno.qcm.cz/index.php?m=project&amp;a=status&amp;id=1305" TargetMode="External"/><Relationship Id="rId71" Type="http://schemas.openxmlformats.org/officeDocument/2006/relationships/hyperlink" Target="http://vykazy.brno.qcm.cz/index.php?m=project&amp;a=status&amp;id=2208" TargetMode="External"/><Relationship Id="rId92" Type="http://schemas.openxmlformats.org/officeDocument/2006/relationships/hyperlink" Target="http://vykazy.brno.qcm.cz/index.php?m=project&amp;a=status&amp;id=4323" TargetMode="External"/><Relationship Id="rId162" Type="http://schemas.openxmlformats.org/officeDocument/2006/relationships/hyperlink" Target="http://vykazy.brno.qcm.cz/index.php?m=project&amp;a=status&amp;id=907" TargetMode="External"/><Relationship Id="rId183" Type="http://schemas.openxmlformats.org/officeDocument/2006/relationships/hyperlink" Target="http://vykazy.brno.qcm.cz/index.php?m=project&amp;a=status&amp;id=4620" TargetMode="External"/><Relationship Id="rId213" Type="http://schemas.openxmlformats.org/officeDocument/2006/relationships/hyperlink" Target="http://vykazy.brno.qcm.cz/index.php?m=project&amp;a=status&amp;id=3409" TargetMode="External"/><Relationship Id="rId218" Type="http://schemas.openxmlformats.org/officeDocument/2006/relationships/hyperlink" Target="http://vykazy.brno.qcm.cz/index.php?m=project&amp;a=status&amp;id=4165" TargetMode="External"/><Relationship Id="rId234" Type="http://schemas.openxmlformats.org/officeDocument/2006/relationships/hyperlink" Target="http://vykazy.brno.qcm.cz/index.php?m=project&amp;a=status&amp;id=2944" TargetMode="External"/><Relationship Id="rId239" Type="http://schemas.openxmlformats.org/officeDocument/2006/relationships/hyperlink" Target="http://vykazy.brno.qcm.cz/index.php?m=project&amp;a=status&amp;id=3653" TargetMode="External"/><Relationship Id="rId2" Type="http://schemas.openxmlformats.org/officeDocument/2006/relationships/hyperlink" Target="http://vykazy.brno.qcm.cz/index.php?m=config" TargetMode="External"/><Relationship Id="rId29" Type="http://schemas.openxmlformats.org/officeDocument/2006/relationships/hyperlink" Target="http://vykazy.brno.qcm.cz/index.php?m=project&amp;a=status&amp;id=4016" TargetMode="External"/><Relationship Id="rId250" Type="http://schemas.openxmlformats.org/officeDocument/2006/relationships/hyperlink" Target="http://vykazy.brno.qcm.cz/index.php?m=project&amp;a=status&amp;id=3128" TargetMode="External"/><Relationship Id="rId255" Type="http://schemas.openxmlformats.org/officeDocument/2006/relationships/hyperlink" Target="http://vykazy.brno.qcm.cz/index.php?m=project&amp;a=status&amp;id=4171" TargetMode="External"/><Relationship Id="rId271" Type="http://schemas.openxmlformats.org/officeDocument/2006/relationships/hyperlink" Target="http://vykazy.brno.qcm.cz/index.php?m=project&amp;a=status&amp;id=4387" TargetMode="External"/><Relationship Id="rId276" Type="http://schemas.openxmlformats.org/officeDocument/2006/relationships/printerSettings" Target="../printerSettings/printerSettings2.bin"/><Relationship Id="rId24" Type="http://schemas.openxmlformats.org/officeDocument/2006/relationships/hyperlink" Target="http://vykazy.brno.qcm.cz/index.php?m=project&amp;a=status&amp;id=4347" TargetMode="External"/><Relationship Id="rId40" Type="http://schemas.openxmlformats.org/officeDocument/2006/relationships/hyperlink" Target="http://vykazy.brno.qcm.cz/index.php?m=project&amp;a=status&amp;id=2732" TargetMode="External"/><Relationship Id="rId45" Type="http://schemas.openxmlformats.org/officeDocument/2006/relationships/hyperlink" Target="http://vykazy.brno.qcm.cz/index.php?m=project&amp;a=status&amp;id=1600" TargetMode="External"/><Relationship Id="rId66" Type="http://schemas.openxmlformats.org/officeDocument/2006/relationships/hyperlink" Target="http://vykazy.brno.qcm.cz/index.php?m=project&amp;a=status&amp;id=2941" TargetMode="External"/><Relationship Id="rId87" Type="http://schemas.openxmlformats.org/officeDocument/2006/relationships/hyperlink" Target="http://vykazy.brno.qcm.cz/index.php?m=project&amp;a=status&amp;id=3039" TargetMode="External"/><Relationship Id="rId110" Type="http://schemas.openxmlformats.org/officeDocument/2006/relationships/hyperlink" Target="http://vykazy.brno.qcm.cz/index.php?m=project&amp;a=status&amp;id=3368" TargetMode="External"/><Relationship Id="rId115" Type="http://schemas.openxmlformats.org/officeDocument/2006/relationships/hyperlink" Target="http://vykazy.brno.qcm.cz/index.php?m=project&amp;a=status&amp;id=780" TargetMode="External"/><Relationship Id="rId131" Type="http://schemas.openxmlformats.org/officeDocument/2006/relationships/hyperlink" Target="http://vykazy.brno.qcm.cz/index.php?m=project&amp;a=status&amp;id=4313" TargetMode="External"/><Relationship Id="rId136" Type="http://schemas.openxmlformats.org/officeDocument/2006/relationships/hyperlink" Target="http://vykazy.brno.qcm.cz/index.php?m=project&amp;a=status&amp;id=3226" TargetMode="External"/><Relationship Id="rId157" Type="http://schemas.openxmlformats.org/officeDocument/2006/relationships/hyperlink" Target="http://vykazy.brno.qcm.cz/index.php?m=project&amp;a=status&amp;id=3369" TargetMode="External"/><Relationship Id="rId178" Type="http://schemas.openxmlformats.org/officeDocument/2006/relationships/hyperlink" Target="http://vykazy.brno.qcm.cz/index.php?m=project&amp;a=status&amp;id=2652" TargetMode="External"/><Relationship Id="rId61" Type="http://schemas.openxmlformats.org/officeDocument/2006/relationships/hyperlink" Target="http://vykazy.brno.qcm.cz/index.php?m=project&amp;a=status&amp;id=2433" TargetMode="External"/><Relationship Id="rId82" Type="http://schemas.openxmlformats.org/officeDocument/2006/relationships/hyperlink" Target="http://vykazy.brno.qcm.cz/index.php?m=project&amp;a=status&amp;id=2700" TargetMode="External"/><Relationship Id="rId152" Type="http://schemas.openxmlformats.org/officeDocument/2006/relationships/hyperlink" Target="http://vykazy.brno.qcm.cz/index.php?m=project&amp;a=status&amp;id=1944" TargetMode="External"/><Relationship Id="rId173" Type="http://schemas.openxmlformats.org/officeDocument/2006/relationships/hyperlink" Target="http://vykazy.brno.qcm.cz/index.php?m=project&amp;a=status&amp;id=2905" TargetMode="External"/><Relationship Id="rId194" Type="http://schemas.openxmlformats.org/officeDocument/2006/relationships/hyperlink" Target="http://vykazy.brno.qcm.cz/index.php?m=project&amp;a=status&amp;id=3029" TargetMode="External"/><Relationship Id="rId199" Type="http://schemas.openxmlformats.org/officeDocument/2006/relationships/hyperlink" Target="http://vykazy.brno.qcm.cz/index.php?m=project&amp;a=status&amp;id=2566" TargetMode="External"/><Relationship Id="rId203" Type="http://schemas.openxmlformats.org/officeDocument/2006/relationships/hyperlink" Target="http://vykazy.brno.qcm.cz/index.php?m=project&amp;a=status&amp;id=2942" TargetMode="External"/><Relationship Id="rId208" Type="http://schemas.openxmlformats.org/officeDocument/2006/relationships/hyperlink" Target="http://vykazy.brno.qcm.cz/index.php?m=project&amp;a=status&amp;id=2686" TargetMode="External"/><Relationship Id="rId229" Type="http://schemas.openxmlformats.org/officeDocument/2006/relationships/hyperlink" Target="http://vykazy.brno.qcm.cz/index.php?m=project&amp;a=status&amp;id=1436" TargetMode="External"/><Relationship Id="rId19" Type="http://schemas.openxmlformats.org/officeDocument/2006/relationships/hyperlink" Target="http://vykazy.brno.qcm.cz/index.php?m=project&amp;a=status&amp;id=1212" TargetMode="External"/><Relationship Id="rId224" Type="http://schemas.openxmlformats.org/officeDocument/2006/relationships/hyperlink" Target="http://vykazy.brno.qcm.cz/index.php?m=project&amp;a=status&amp;id=2401" TargetMode="External"/><Relationship Id="rId240" Type="http://schemas.openxmlformats.org/officeDocument/2006/relationships/hyperlink" Target="http://vykazy.brno.qcm.cz/index.php?m=project&amp;a=status&amp;id=3357" TargetMode="External"/><Relationship Id="rId245" Type="http://schemas.openxmlformats.org/officeDocument/2006/relationships/hyperlink" Target="http://vykazy.brno.qcm.cz/index.php?m=project&amp;a=status&amp;id=4384" TargetMode="External"/><Relationship Id="rId261" Type="http://schemas.openxmlformats.org/officeDocument/2006/relationships/hyperlink" Target="http://vykazy.brno.qcm.cz/index.php?m=project&amp;a=status&amp;id=2544" TargetMode="External"/><Relationship Id="rId266" Type="http://schemas.openxmlformats.org/officeDocument/2006/relationships/hyperlink" Target="http://vykazy.brno.qcm.cz/index.php?m=project&amp;a=status&amp;id=2864" TargetMode="External"/><Relationship Id="rId14" Type="http://schemas.openxmlformats.org/officeDocument/2006/relationships/hyperlink" Target="http://vykazy.brno.qcm.cz/index.php?m=project&amp;a=status&amp;id=2466" TargetMode="External"/><Relationship Id="rId30" Type="http://schemas.openxmlformats.org/officeDocument/2006/relationships/hyperlink" Target="http://vykazy.brno.qcm.cz/index.php?m=project&amp;a=status&amp;id=2682" TargetMode="External"/><Relationship Id="rId35" Type="http://schemas.openxmlformats.org/officeDocument/2006/relationships/hyperlink" Target="http://vykazy.brno.qcm.cz/index.php?m=project&amp;a=status&amp;id=2806" TargetMode="External"/><Relationship Id="rId56" Type="http://schemas.openxmlformats.org/officeDocument/2006/relationships/hyperlink" Target="http://vykazy.brno.qcm.cz/index.php?m=project&amp;a=status&amp;id=3528" TargetMode="External"/><Relationship Id="rId77" Type="http://schemas.openxmlformats.org/officeDocument/2006/relationships/hyperlink" Target="http://vykazy.brno.qcm.cz/index.php?m=project&amp;a=status&amp;id=2555" TargetMode="External"/><Relationship Id="rId100" Type="http://schemas.openxmlformats.org/officeDocument/2006/relationships/hyperlink" Target="http://vykazy.brno.qcm.cz/index.php?m=project&amp;a=status&amp;id=4679" TargetMode="External"/><Relationship Id="rId105" Type="http://schemas.openxmlformats.org/officeDocument/2006/relationships/hyperlink" Target="http://vykazy.brno.qcm.cz/index.php?m=project&amp;a=status&amp;id=4701" TargetMode="External"/><Relationship Id="rId126" Type="http://schemas.openxmlformats.org/officeDocument/2006/relationships/hyperlink" Target="http://vykazy.brno.qcm.cz/index.php?m=project&amp;a=status&amp;id=4269" TargetMode="External"/><Relationship Id="rId147" Type="http://schemas.openxmlformats.org/officeDocument/2006/relationships/hyperlink" Target="http://vykazy.brno.qcm.cz/index.php?m=project&amp;a=status&amp;id=3674" TargetMode="External"/><Relationship Id="rId168" Type="http://schemas.openxmlformats.org/officeDocument/2006/relationships/hyperlink" Target="http://vykazy.brno.qcm.cz/index.php?m=project&amp;a=status&amp;id=3331" TargetMode="External"/><Relationship Id="rId8" Type="http://schemas.openxmlformats.org/officeDocument/2006/relationships/hyperlink" Target="http://vykazy.brno.qcm.cz/index.php?m=project&amp;a=status&amp;id=4586" TargetMode="External"/><Relationship Id="rId51" Type="http://schemas.openxmlformats.org/officeDocument/2006/relationships/hyperlink" Target="http://vykazy.brno.qcm.cz/index.php?m=project&amp;a=status&amp;id=447" TargetMode="External"/><Relationship Id="rId72" Type="http://schemas.openxmlformats.org/officeDocument/2006/relationships/hyperlink" Target="http://vykazy.brno.qcm.cz/index.php?m=project&amp;a=status&amp;id=4349" TargetMode="External"/><Relationship Id="rId93" Type="http://schemas.openxmlformats.org/officeDocument/2006/relationships/hyperlink" Target="http://vykazy.brno.qcm.cz/index.php?m=project&amp;a=status&amp;id=2237" TargetMode="External"/><Relationship Id="rId98" Type="http://schemas.openxmlformats.org/officeDocument/2006/relationships/hyperlink" Target="http://vykazy.brno.qcm.cz/index.php?m=project&amp;a=status&amp;id=4397" TargetMode="External"/><Relationship Id="rId121" Type="http://schemas.openxmlformats.org/officeDocument/2006/relationships/hyperlink" Target="http://vykazy.brno.qcm.cz/index.php?m=project&amp;a=status&amp;id=2543" TargetMode="External"/><Relationship Id="rId142" Type="http://schemas.openxmlformats.org/officeDocument/2006/relationships/hyperlink" Target="http://vykazy.brno.qcm.cz/index.php?m=project&amp;a=status&amp;id=529" TargetMode="External"/><Relationship Id="rId163" Type="http://schemas.openxmlformats.org/officeDocument/2006/relationships/hyperlink" Target="http://vykazy.brno.qcm.cz/index.php?m=project&amp;a=status&amp;id=3173" TargetMode="External"/><Relationship Id="rId184" Type="http://schemas.openxmlformats.org/officeDocument/2006/relationships/hyperlink" Target="http://vykazy.brno.qcm.cz/index.php?m=project&amp;a=status&amp;id=4394" TargetMode="External"/><Relationship Id="rId189" Type="http://schemas.openxmlformats.org/officeDocument/2006/relationships/hyperlink" Target="http://vykazy.brno.qcm.cz/index.php?m=project&amp;a=status&amp;id=3200" TargetMode="External"/><Relationship Id="rId219" Type="http://schemas.openxmlformats.org/officeDocument/2006/relationships/hyperlink" Target="http://vykazy.brno.qcm.cz/index.php?m=project&amp;a=status&amp;id=3293" TargetMode="External"/><Relationship Id="rId3" Type="http://schemas.openxmlformats.org/officeDocument/2006/relationships/hyperlink" Target="http://vykazy.brno.qcm.cz/index.php?m=config" TargetMode="External"/><Relationship Id="rId214" Type="http://schemas.openxmlformats.org/officeDocument/2006/relationships/hyperlink" Target="http://vykazy.brno.qcm.cz/index.php?m=project&amp;a=status&amp;id=3201" TargetMode="External"/><Relationship Id="rId230" Type="http://schemas.openxmlformats.org/officeDocument/2006/relationships/hyperlink" Target="http://vykazy.brno.qcm.cz/index.php?m=project&amp;a=status&amp;id=2075" TargetMode="External"/><Relationship Id="rId235" Type="http://schemas.openxmlformats.org/officeDocument/2006/relationships/hyperlink" Target="http://vykazy.brno.qcm.cz/index.php?m=project&amp;a=status&amp;id=3355" TargetMode="External"/><Relationship Id="rId251" Type="http://schemas.openxmlformats.org/officeDocument/2006/relationships/hyperlink" Target="http://vykazy.brno.qcm.cz/index.php?m=project&amp;a=status&amp;id=1163" TargetMode="External"/><Relationship Id="rId256" Type="http://schemas.openxmlformats.org/officeDocument/2006/relationships/hyperlink" Target="http://vykazy.brno.qcm.cz/index.php?m=project&amp;a=status&amp;id=2744" TargetMode="External"/><Relationship Id="rId25" Type="http://schemas.openxmlformats.org/officeDocument/2006/relationships/hyperlink" Target="http://vykazy.brno.qcm.cz/index.php?m=project&amp;a=status&amp;id=2651" TargetMode="External"/><Relationship Id="rId46" Type="http://schemas.openxmlformats.org/officeDocument/2006/relationships/hyperlink" Target="http://vykazy.brno.qcm.cz/index.php?m=project&amp;a=status&amp;id=4266" TargetMode="External"/><Relationship Id="rId67" Type="http://schemas.openxmlformats.org/officeDocument/2006/relationships/hyperlink" Target="http://vykazy.brno.qcm.cz/index.php?m=project&amp;a=status&amp;id=2000" TargetMode="External"/><Relationship Id="rId116" Type="http://schemas.openxmlformats.org/officeDocument/2006/relationships/hyperlink" Target="http://vykazy.brno.qcm.cz/index.php?m=project&amp;a=status&amp;id=3808" TargetMode="External"/><Relationship Id="rId137" Type="http://schemas.openxmlformats.org/officeDocument/2006/relationships/hyperlink" Target="http://vykazy.brno.qcm.cz/index.php?m=project&amp;a=status&amp;id=3352" TargetMode="External"/><Relationship Id="rId158" Type="http://schemas.openxmlformats.org/officeDocument/2006/relationships/hyperlink" Target="http://vykazy.brno.qcm.cz/index.php?m=project&amp;a=status&amp;id=2477" TargetMode="External"/><Relationship Id="rId272" Type="http://schemas.openxmlformats.org/officeDocument/2006/relationships/hyperlink" Target="http://vykazy.brno.qcm.cz/index.php?m=project&amp;a=status&amp;id=2423" TargetMode="External"/><Relationship Id="rId20" Type="http://schemas.openxmlformats.org/officeDocument/2006/relationships/hyperlink" Target="http://vykazy.brno.qcm.cz/index.php?m=project&amp;a=status&amp;id=3177" TargetMode="External"/><Relationship Id="rId41" Type="http://schemas.openxmlformats.org/officeDocument/2006/relationships/hyperlink" Target="http://vykazy.brno.qcm.cz/index.php?m=project&amp;a=status&amp;id=4261" TargetMode="External"/><Relationship Id="rId62" Type="http://schemas.openxmlformats.org/officeDocument/2006/relationships/hyperlink" Target="http://vykazy.brno.qcm.cz/index.php?m=project&amp;a=status&amp;id=3326" TargetMode="External"/><Relationship Id="rId83" Type="http://schemas.openxmlformats.org/officeDocument/2006/relationships/hyperlink" Target="http://vykazy.brno.qcm.cz/index.php?m=project&amp;a=status&amp;id=957" TargetMode="External"/><Relationship Id="rId88" Type="http://schemas.openxmlformats.org/officeDocument/2006/relationships/hyperlink" Target="http://vykazy.brno.qcm.cz/index.php?m=project&amp;a=status&amp;id=3384" TargetMode="External"/><Relationship Id="rId111" Type="http://schemas.openxmlformats.org/officeDocument/2006/relationships/hyperlink" Target="http://vykazy.brno.qcm.cz/index.php?m=project&amp;a=status&amp;id=3033" TargetMode="External"/><Relationship Id="rId132" Type="http://schemas.openxmlformats.org/officeDocument/2006/relationships/hyperlink" Target="http://vykazy.brno.qcm.cz/index.php?m=project&amp;a=status&amp;id=4273" TargetMode="External"/><Relationship Id="rId153" Type="http://schemas.openxmlformats.org/officeDocument/2006/relationships/hyperlink" Target="http://vykazy.brno.qcm.cz/index.php?m=project&amp;a=status&amp;id=2730" TargetMode="External"/><Relationship Id="rId174" Type="http://schemas.openxmlformats.org/officeDocument/2006/relationships/hyperlink" Target="http://vykazy.brno.qcm.cz/index.php?m=project&amp;a=status&amp;id=2040" TargetMode="External"/><Relationship Id="rId179" Type="http://schemas.openxmlformats.org/officeDocument/2006/relationships/hyperlink" Target="http://vykazy.brno.qcm.cz/index.php?m=project&amp;a=status&amp;id=2105" TargetMode="External"/><Relationship Id="rId195" Type="http://schemas.openxmlformats.org/officeDocument/2006/relationships/hyperlink" Target="http://vykazy.brno.qcm.cz/index.php?m=project&amp;a=status&amp;id=2807" TargetMode="External"/><Relationship Id="rId209" Type="http://schemas.openxmlformats.org/officeDocument/2006/relationships/hyperlink" Target="http://vykazy.brno.qcm.cz/index.php?m=project&amp;a=status&amp;id=3630" TargetMode="External"/><Relationship Id="rId190" Type="http://schemas.openxmlformats.org/officeDocument/2006/relationships/hyperlink" Target="http://vykazy.brno.qcm.cz/index.php?m=project&amp;a=status&amp;id=4629" TargetMode="External"/><Relationship Id="rId204" Type="http://schemas.openxmlformats.org/officeDocument/2006/relationships/hyperlink" Target="http://vykazy.brno.qcm.cz/index.php?m=project&amp;a=status&amp;id=2618" TargetMode="External"/><Relationship Id="rId220" Type="http://schemas.openxmlformats.org/officeDocument/2006/relationships/hyperlink" Target="http://vykazy.brno.qcm.cz/index.php?m=project&amp;a=status&amp;id=2540" TargetMode="External"/><Relationship Id="rId225" Type="http://schemas.openxmlformats.org/officeDocument/2006/relationships/hyperlink" Target="http://vykazy.brno.qcm.cz/index.php?m=project&amp;a=status&amp;id=4846" TargetMode="External"/><Relationship Id="rId241" Type="http://schemas.openxmlformats.org/officeDocument/2006/relationships/hyperlink" Target="http://vykazy.brno.qcm.cz/index.php?m=project&amp;a=status&amp;id=2338" TargetMode="External"/><Relationship Id="rId246" Type="http://schemas.openxmlformats.org/officeDocument/2006/relationships/hyperlink" Target="http://vykazy.brno.qcm.cz/index.php?m=project&amp;a=status&amp;id=1836" TargetMode="External"/><Relationship Id="rId267" Type="http://schemas.openxmlformats.org/officeDocument/2006/relationships/hyperlink" Target="http://vykazy.brno.qcm.cz/index.php?m=project&amp;a=status&amp;id=3385" TargetMode="External"/><Relationship Id="rId15" Type="http://schemas.openxmlformats.org/officeDocument/2006/relationships/hyperlink" Target="http://vykazy.brno.qcm.cz/index.php?m=project&amp;a=status&amp;id=4049" TargetMode="External"/><Relationship Id="rId36" Type="http://schemas.openxmlformats.org/officeDocument/2006/relationships/hyperlink" Target="http://vykazy.brno.qcm.cz/index.php?m=project&amp;a=status&amp;id=2811" TargetMode="External"/><Relationship Id="rId57" Type="http://schemas.openxmlformats.org/officeDocument/2006/relationships/hyperlink" Target="http://vykazy.brno.qcm.cz/index.php?m=project&amp;a=status&amp;id=3579" TargetMode="External"/><Relationship Id="rId106" Type="http://schemas.openxmlformats.org/officeDocument/2006/relationships/hyperlink" Target="http://vykazy.brno.qcm.cz/index.php?m=project&amp;a=status&amp;id=2943" TargetMode="External"/><Relationship Id="rId127" Type="http://schemas.openxmlformats.org/officeDocument/2006/relationships/hyperlink" Target="http://vykazy.brno.qcm.cz/index.php?m=project&amp;a=status&amp;id=3320" TargetMode="External"/><Relationship Id="rId262" Type="http://schemas.openxmlformats.org/officeDocument/2006/relationships/hyperlink" Target="http://vykazy.brno.qcm.cz/index.php?m=project&amp;a=status&amp;id=4348" TargetMode="External"/><Relationship Id="rId10" Type="http://schemas.openxmlformats.org/officeDocument/2006/relationships/hyperlink" Target="http://vykazy.brno.qcm.cz/index.php?m=project&amp;a=status&amp;id=3410" TargetMode="External"/><Relationship Id="rId31" Type="http://schemas.openxmlformats.org/officeDocument/2006/relationships/hyperlink" Target="http://vykazy.brno.qcm.cz/index.php?m=project&amp;a=status&amp;id=4370" TargetMode="External"/><Relationship Id="rId52" Type="http://schemas.openxmlformats.org/officeDocument/2006/relationships/hyperlink" Target="http://vykazy.brno.qcm.cz/index.php?m=project&amp;a=status&amp;id=3639" TargetMode="External"/><Relationship Id="rId73" Type="http://schemas.openxmlformats.org/officeDocument/2006/relationships/hyperlink" Target="http://vykazy.brno.qcm.cz/index.php?m=project&amp;a=status&amp;id=1139" TargetMode="External"/><Relationship Id="rId78" Type="http://schemas.openxmlformats.org/officeDocument/2006/relationships/hyperlink" Target="http://vykazy.brno.qcm.cz/index.php?m=project&amp;a=status&amp;id=2556" TargetMode="External"/><Relationship Id="rId94" Type="http://schemas.openxmlformats.org/officeDocument/2006/relationships/hyperlink" Target="http://vykazy.brno.qcm.cz/index.php?m=project&amp;a=status&amp;id=2482" TargetMode="External"/><Relationship Id="rId99" Type="http://schemas.openxmlformats.org/officeDocument/2006/relationships/hyperlink" Target="http://vykazy.brno.qcm.cz/index.php?m=project&amp;a=status&amp;id=4543" TargetMode="External"/><Relationship Id="rId101" Type="http://schemas.openxmlformats.org/officeDocument/2006/relationships/hyperlink" Target="http://vykazy.brno.qcm.cz/index.php?m=project&amp;a=status&amp;id=3959" TargetMode="External"/><Relationship Id="rId122" Type="http://schemas.openxmlformats.org/officeDocument/2006/relationships/hyperlink" Target="http://vykazy.brno.qcm.cz/index.php?m=project&amp;a=status&amp;id=3028" TargetMode="External"/><Relationship Id="rId143" Type="http://schemas.openxmlformats.org/officeDocument/2006/relationships/hyperlink" Target="http://vykazy.brno.qcm.cz/index.php?m=project&amp;a=status&amp;id=2015" TargetMode="External"/><Relationship Id="rId148" Type="http://schemas.openxmlformats.org/officeDocument/2006/relationships/hyperlink" Target="http://vykazy.brno.qcm.cz/index.php?m=project&amp;a=status&amp;id=3693" TargetMode="External"/><Relationship Id="rId164" Type="http://schemas.openxmlformats.org/officeDocument/2006/relationships/hyperlink" Target="http://vykazy.brno.qcm.cz/index.php?m=project&amp;a=status&amp;id=3318" TargetMode="External"/><Relationship Id="rId169" Type="http://schemas.openxmlformats.org/officeDocument/2006/relationships/hyperlink" Target="http://vykazy.brno.qcm.cz/index.php?m=project&amp;a=status&amp;id=3319" TargetMode="External"/><Relationship Id="rId185" Type="http://schemas.openxmlformats.org/officeDocument/2006/relationships/hyperlink" Target="http://vykazy.brno.qcm.cz/index.php?m=project&amp;a=status&amp;id=3780" TargetMode="External"/><Relationship Id="rId4" Type="http://schemas.openxmlformats.org/officeDocument/2006/relationships/hyperlink" Target="http://vykazy.brno.qcm.cz/index.php?m=config" TargetMode="External"/><Relationship Id="rId9" Type="http://schemas.openxmlformats.org/officeDocument/2006/relationships/hyperlink" Target="http://vykazy.brno.qcm.cz/index.php?m=project&amp;a=status&amp;id=3227" TargetMode="External"/><Relationship Id="rId180" Type="http://schemas.openxmlformats.org/officeDocument/2006/relationships/hyperlink" Target="http://vykazy.brno.qcm.cz/index.php?m=project&amp;a=status&amp;id=4128" TargetMode="External"/><Relationship Id="rId210" Type="http://schemas.openxmlformats.org/officeDocument/2006/relationships/hyperlink" Target="http://vykazy.brno.qcm.cz/index.php?m=project&amp;a=status&amp;id=2521" TargetMode="External"/><Relationship Id="rId215" Type="http://schemas.openxmlformats.org/officeDocument/2006/relationships/hyperlink" Target="http://vykazy.brno.qcm.cz/index.php?m=project&amp;a=status&amp;id=762" TargetMode="External"/><Relationship Id="rId236" Type="http://schemas.openxmlformats.org/officeDocument/2006/relationships/hyperlink" Target="http://vykazy.brno.qcm.cz/index.php?m=project&amp;a=status&amp;id=2513" TargetMode="External"/><Relationship Id="rId257" Type="http://schemas.openxmlformats.org/officeDocument/2006/relationships/hyperlink" Target="http://vykazy.brno.qcm.cz/index.php?m=project&amp;a=status&amp;id=1013" TargetMode="External"/><Relationship Id="rId26" Type="http://schemas.openxmlformats.org/officeDocument/2006/relationships/hyperlink" Target="http://vykazy.brno.qcm.cz/index.php?m=project&amp;a=status&amp;id=4386" TargetMode="External"/><Relationship Id="rId231" Type="http://schemas.openxmlformats.org/officeDocument/2006/relationships/hyperlink" Target="http://vykazy.brno.qcm.cz/index.php?m=project&amp;a=status&amp;id=4515" TargetMode="External"/><Relationship Id="rId252" Type="http://schemas.openxmlformats.org/officeDocument/2006/relationships/hyperlink" Target="http://vykazy.brno.qcm.cz/index.php?m=project&amp;a=status&amp;id=4287" TargetMode="External"/><Relationship Id="rId273" Type="http://schemas.openxmlformats.org/officeDocument/2006/relationships/hyperlink" Target="http://vykazy.brno.qcm.cz/index.php?m=project&amp;a=status&amp;id=2656" TargetMode="External"/><Relationship Id="rId47" Type="http://schemas.openxmlformats.org/officeDocument/2006/relationships/hyperlink" Target="http://vykazy.brno.qcm.cz/index.php?m=project&amp;a=status&amp;id=2189" TargetMode="External"/><Relationship Id="rId68" Type="http://schemas.openxmlformats.org/officeDocument/2006/relationships/hyperlink" Target="http://vykazy.brno.qcm.cz/index.php?m=project&amp;a=status&amp;id=2736" TargetMode="External"/><Relationship Id="rId89" Type="http://schemas.openxmlformats.org/officeDocument/2006/relationships/hyperlink" Target="http://vykazy.brno.qcm.cz/index.php?m=project&amp;a=status&amp;id=4385" TargetMode="External"/><Relationship Id="rId112" Type="http://schemas.openxmlformats.org/officeDocument/2006/relationships/hyperlink" Target="http://vykazy.brno.qcm.cz/index.php?m=project&amp;a=status&amp;id=3386" TargetMode="External"/><Relationship Id="rId133" Type="http://schemas.openxmlformats.org/officeDocument/2006/relationships/hyperlink" Target="http://vykazy.brno.qcm.cz/index.php?m=project&amp;a=status&amp;id=503" TargetMode="External"/><Relationship Id="rId154" Type="http://schemas.openxmlformats.org/officeDocument/2006/relationships/hyperlink" Target="http://vykazy.brno.qcm.cz/index.php?m=project&amp;a=status&amp;id=3262" TargetMode="External"/><Relationship Id="rId175" Type="http://schemas.openxmlformats.org/officeDocument/2006/relationships/hyperlink" Target="http://vykazy.brno.qcm.cz/index.php?m=project&amp;a=status&amp;id=4373" TargetMode="External"/><Relationship Id="rId196" Type="http://schemas.openxmlformats.org/officeDocument/2006/relationships/hyperlink" Target="http://vykazy.brno.qcm.cz/index.php?m=project&amp;a=status&amp;id=4318" TargetMode="External"/><Relationship Id="rId200" Type="http://schemas.openxmlformats.org/officeDocument/2006/relationships/hyperlink" Target="http://vykazy.brno.qcm.cz/index.php?m=project&amp;a=status&amp;id=859" TargetMode="External"/><Relationship Id="rId16" Type="http://schemas.openxmlformats.org/officeDocument/2006/relationships/hyperlink" Target="http://vykazy.brno.qcm.cz/index.php?m=project&amp;a=status&amp;id=3252" TargetMode="External"/><Relationship Id="rId221" Type="http://schemas.openxmlformats.org/officeDocument/2006/relationships/hyperlink" Target="http://vykazy.brno.qcm.cz/index.php?m=project&amp;a=status&amp;id=1072" TargetMode="External"/><Relationship Id="rId242" Type="http://schemas.openxmlformats.org/officeDocument/2006/relationships/hyperlink" Target="http://vykazy.brno.qcm.cz/index.php?m=project&amp;a=status&amp;id=4634" TargetMode="External"/><Relationship Id="rId263" Type="http://schemas.openxmlformats.org/officeDocument/2006/relationships/hyperlink" Target="http://vykazy.brno.qcm.cz/index.php?m=project&amp;a=status&amp;id=2489" TargetMode="External"/><Relationship Id="rId37" Type="http://schemas.openxmlformats.org/officeDocument/2006/relationships/hyperlink" Target="http://vykazy.brno.qcm.cz/index.php?m=project&amp;a=status&amp;id=1997" TargetMode="External"/><Relationship Id="rId58" Type="http://schemas.openxmlformats.org/officeDocument/2006/relationships/hyperlink" Target="http://vykazy.brno.qcm.cz/index.php?m=project&amp;a=status&amp;id=3325" TargetMode="External"/><Relationship Id="rId79" Type="http://schemas.openxmlformats.org/officeDocument/2006/relationships/hyperlink" Target="http://vykazy.brno.qcm.cz/index.php?m=project&amp;a=status&amp;id=2641" TargetMode="External"/><Relationship Id="rId102" Type="http://schemas.openxmlformats.org/officeDocument/2006/relationships/hyperlink" Target="http://vykazy.brno.qcm.cz/index.php?m=project&amp;a=status&amp;id=4958" TargetMode="External"/><Relationship Id="rId123" Type="http://schemas.openxmlformats.org/officeDocument/2006/relationships/hyperlink" Target="http://vykazy.brno.qcm.cz/index.php?m=project&amp;a=status&amp;id=2804" TargetMode="External"/><Relationship Id="rId144" Type="http://schemas.openxmlformats.org/officeDocument/2006/relationships/hyperlink" Target="http://vykazy.brno.qcm.cz/index.php?m=project&amp;a=status&amp;id=3313" TargetMode="External"/><Relationship Id="rId90" Type="http://schemas.openxmlformats.org/officeDocument/2006/relationships/hyperlink" Target="http://vykazy.brno.qcm.cz/index.php?m=project&amp;a=status&amp;id=1388" TargetMode="External"/><Relationship Id="rId165" Type="http://schemas.openxmlformats.org/officeDocument/2006/relationships/hyperlink" Target="http://vykazy.brno.qcm.cz/index.php?m=project&amp;a=status&amp;id=3322" TargetMode="External"/><Relationship Id="rId186" Type="http://schemas.openxmlformats.org/officeDocument/2006/relationships/hyperlink" Target="http://vykazy.brno.qcm.cz/index.php?m=project&amp;a=status&amp;id=4319" TargetMode="External"/><Relationship Id="rId211" Type="http://schemas.openxmlformats.org/officeDocument/2006/relationships/hyperlink" Target="http://vykazy.brno.qcm.cz/index.php?m=project&amp;a=status&amp;id=3469" TargetMode="External"/><Relationship Id="rId232" Type="http://schemas.openxmlformats.org/officeDocument/2006/relationships/hyperlink" Target="http://vykazy.brno.qcm.cz/index.php?m=project&amp;a=status&amp;id=2261" TargetMode="External"/><Relationship Id="rId253" Type="http://schemas.openxmlformats.org/officeDocument/2006/relationships/hyperlink" Target="http://vykazy.brno.qcm.cz/index.php?m=project&amp;a=status&amp;id=2733" TargetMode="External"/><Relationship Id="rId274" Type="http://schemas.openxmlformats.org/officeDocument/2006/relationships/hyperlink" Target="http://vykazy.brno.qcm.cz/index.php?m=project&amp;a=status&amp;id=3419" TargetMode="External"/><Relationship Id="rId27" Type="http://schemas.openxmlformats.org/officeDocument/2006/relationships/hyperlink" Target="http://vykazy.brno.qcm.cz/index.php?m=project&amp;a=status&amp;id=2904" TargetMode="External"/><Relationship Id="rId48" Type="http://schemas.openxmlformats.org/officeDocument/2006/relationships/hyperlink" Target="http://vykazy.brno.qcm.cz/index.php?m=project&amp;a=status&amp;id=1631" TargetMode="External"/><Relationship Id="rId69" Type="http://schemas.openxmlformats.org/officeDocument/2006/relationships/hyperlink" Target="http://vykazy.brno.qcm.cz/index.php?m=project&amp;a=status&amp;id=2973" TargetMode="External"/><Relationship Id="rId113" Type="http://schemas.openxmlformats.org/officeDocument/2006/relationships/hyperlink" Target="http://vykazy.brno.qcm.cz/index.php?m=project&amp;a=status&amp;id=4520" TargetMode="External"/><Relationship Id="rId134" Type="http://schemas.openxmlformats.org/officeDocument/2006/relationships/hyperlink" Target="http://vykazy.brno.qcm.cz/index.php?m=project&amp;a=status&amp;id=4280" TargetMode="External"/><Relationship Id="rId80" Type="http://schemas.openxmlformats.org/officeDocument/2006/relationships/hyperlink" Target="http://vykazy.brno.qcm.cz/index.php?m=project&amp;a=status&amp;id=1854" TargetMode="External"/><Relationship Id="rId155" Type="http://schemas.openxmlformats.org/officeDocument/2006/relationships/hyperlink" Target="http://vykazy.brno.qcm.cz/index.php?m=project&amp;a=status&amp;id=1618" TargetMode="External"/><Relationship Id="rId176" Type="http://schemas.openxmlformats.org/officeDocument/2006/relationships/hyperlink" Target="http://vykazy.brno.qcm.cz/index.php?m=project&amp;a=status&amp;id=3208" TargetMode="External"/><Relationship Id="rId197" Type="http://schemas.openxmlformats.org/officeDocument/2006/relationships/hyperlink" Target="http://vykazy.brno.qcm.cz/index.php?m=project&amp;a=status&amp;id=4265" TargetMode="External"/><Relationship Id="rId201" Type="http://schemas.openxmlformats.org/officeDocument/2006/relationships/hyperlink" Target="http://vykazy.brno.qcm.cz/index.php?m=project&amp;a=status&amp;id=2576" TargetMode="External"/><Relationship Id="rId222" Type="http://schemas.openxmlformats.org/officeDocument/2006/relationships/hyperlink" Target="http://vykazy.brno.qcm.cz/index.php?m=project&amp;a=status&amp;id=2681" TargetMode="External"/><Relationship Id="rId243" Type="http://schemas.openxmlformats.org/officeDocument/2006/relationships/hyperlink" Target="http://vykazy.brno.qcm.cz/index.php?m=project&amp;a=status&amp;id=2097" TargetMode="External"/><Relationship Id="rId264" Type="http://schemas.openxmlformats.org/officeDocument/2006/relationships/hyperlink" Target="http://vykazy.brno.qcm.cz/index.php?m=project&amp;a=status&amp;id=2344" TargetMode="External"/><Relationship Id="rId17" Type="http://schemas.openxmlformats.org/officeDocument/2006/relationships/hyperlink" Target="http://vykazy.brno.qcm.cz/index.php?m=project&amp;a=status&amp;id=3447" TargetMode="External"/><Relationship Id="rId38" Type="http://schemas.openxmlformats.org/officeDocument/2006/relationships/hyperlink" Target="http://vykazy.brno.qcm.cz/index.php?m=project&amp;a=status&amp;id=2488" TargetMode="External"/><Relationship Id="rId59" Type="http://schemas.openxmlformats.org/officeDocument/2006/relationships/hyperlink" Target="http://vykazy.brno.qcm.cz/index.php?m=project&amp;a=status&amp;id=2177" TargetMode="External"/><Relationship Id="rId103" Type="http://schemas.openxmlformats.org/officeDocument/2006/relationships/hyperlink" Target="http://vykazy.brno.qcm.cz/index.php?m=project&amp;a=status&amp;id=4365" TargetMode="External"/><Relationship Id="rId124" Type="http://schemas.openxmlformats.org/officeDocument/2006/relationships/hyperlink" Target="http://vykazy.brno.qcm.cz/index.php?m=project&amp;a=status&amp;id=4020" TargetMode="External"/><Relationship Id="rId70" Type="http://schemas.openxmlformats.org/officeDocument/2006/relationships/hyperlink" Target="http://vykazy.brno.qcm.cz/index.php?m=project&amp;a=status&amp;id=2394" TargetMode="External"/><Relationship Id="rId91" Type="http://schemas.openxmlformats.org/officeDocument/2006/relationships/hyperlink" Target="http://vykazy.brno.qcm.cz/index.php?m=project&amp;a=status&amp;id=2336" TargetMode="External"/><Relationship Id="rId145" Type="http://schemas.openxmlformats.org/officeDocument/2006/relationships/hyperlink" Target="http://vykazy.brno.qcm.cz/index.php?m=project&amp;a=status&amp;id=1401" TargetMode="External"/><Relationship Id="rId166" Type="http://schemas.openxmlformats.org/officeDocument/2006/relationships/hyperlink" Target="http://vykazy.brno.qcm.cz/index.php?m=project&amp;a=status&amp;id=3323" TargetMode="External"/><Relationship Id="rId187" Type="http://schemas.openxmlformats.org/officeDocument/2006/relationships/hyperlink" Target="http://vykazy.brno.qcm.cz/index.php?m=project&amp;a=status&amp;id=1211" TargetMode="External"/><Relationship Id="rId1" Type="http://schemas.openxmlformats.org/officeDocument/2006/relationships/hyperlink" Target="http://vykazy.brno.qcm.cz/index.php?m=config" TargetMode="External"/><Relationship Id="rId212" Type="http://schemas.openxmlformats.org/officeDocument/2006/relationships/hyperlink" Target="http://vykazy.brno.qcm.cz/index.php?m=project&amp;a=status&amp;id=4389" TargetMode="External"/><Relationship Id="rId233" Type="http://schemas.openxmlformats.org/officeDocument/2006/relationships/hyperlink" Target="http://vykazy.brno.qcm.cz/index.php?m=project&amp;a=status&amp;id=2903" TargetMode="External"/><Relationship Id="rId254" Type="http://schemas.openxmlformats.org/officeDocument/2006/relationships/hyperlink" Target="http://vykazy.brno.qcm.cz/index.php?m=project&amp;a=status&amp;id=2678" TargetMode="External"/><Relationship Id="rId28" Type="http://schemas.openxmlformats.org/officeDocument/2006/relationships/hyperlink" Target="http://vykazy.brno.qcm.cz/index.php?m=project&amp;a=status&amp;id=4402" TargetMode="External"/><Relationship Id="rId49" Type="http://schemas.openxmlformats.org/officeDocument/2006/relationships/hyperlink" Target="http://vykazy.brno.qcm.cz/index.php?m=project&amp;a=status&amp;id=2371" TargetMode="External"/><Relationship Id="rId114" Type="http://schemas.openxmlformats.org/officeDocument/2006/relationships/hyperlink" Target="http://vykazy.brno.qcm.cz/index.php?m=project&amp;a=status&amp;id=4158" TargetMode="External"/><Relationship Id="rId275" Type="http://schemas.openxmlformats.org/officeDocument/2006/relationships/hyperlink" Target="http://vykazy.brno.qcm.cz/index.php?m=project&amp;a=status&amp;id=329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file:///\\XEON\podpora\Spole&#269;n&#233;\Servisn&#237;%20smlouvy\Fakturace" TargetMode="External"/><Relationship Id="rId2" Type="http://schemas.openxmlformats.org/officeDocument/2006/relationships/hyperlink" Target="file:///\\XEON\podpora\Spole&#269;n&#233;\Doch&#225;zka" TargetMode="External"/><Relationship Id="rId1" Type="http://schemas.openxmlformats.org/officeDocument/2006/relationships/hyperlink" Target="file:///\\XEON\podpora\Spole&#269;n&#233;\Workflow%20smluv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file:///\\XEON\podpora\Spole&#269;n&#233;\Zastupitelnos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echwiki.brno.qcm.cz/index.php/DCB-z%C3%A1lohov%C3%A1n%C3%AD_na_p%C3%A1sky" TargetMode="External"/><Relationship Id="rId3" Type="http://schemas.openxmlformats.org/officeDocument/2006/relationships/hyperlink" Target="http://techwiki.brno.qcm.cz/index.php/DCB-VM-p%C5%99ehled" TargetMode="External"/><Relationship Id="rId7" Type="http://schemas.openxmlformats.org/officeDocument/2006/relationships/hyperlink" Target="http://intranet.brno.qcm.cz/technicke/pasky" TargetMode="External"/><Relationship Id="rId2" Type="http://schemas.openxmlformats.org/officeDocument/2006/relationships/hyperlink" Target="http://techwiki.brno.qcm.cz/index.php/Postup_%2B_testy_obnovy_z%C3%A1loh" TargetMode="External"/><Relationship Id="rId1" Type="http://schemas.openxmlformats.org/officeDocument/2006/relationships/hyperlink" Target="http://techwiki.brno.qcm.cz/index.php/Postup_%2B_testy_obnovy_z%C3%A1loh" TargetMode="External"/><Relationship Id="rId6" Type="http://schemas.openxmlformats.org/officeDocument/2006/relationships/hyperlink" Target="http://intranet.brno.qcm.cz/technicke/pasky-1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://techwiki.brno.qcm.cz/index.php/Z%C3%A1lohov%C3%A1n%C3%AD_BackupPC" TargetMode="External"/><Relationship Id="rId10" Type="http://schemas.openxmlformats.org/officeDocument/2006/relationships/hyperlink" Target="http://techwiki.brno.qcm.cz/index.php/Replikace_Storage" TargetMode="External"/><Relationship Id="rId4" Type="http://schemas.openxmlformats.org/officeDocument/2006/relationships/hyperlink" Target="http://techwiki.brno.qcm.cz/index.php/DCP-VM-p%C5%99ehled" TargetMode="External"/><Relationship Id="rId9" Type="http://schemas.openxmlformats.org/officeDocument/2006/relationships/hyperlink" Target="http://techwiki.brno.qcm.cz/index.php/Odp%C3%A1r%C3%A1n%C3%AD_linky_GTS_na_MPal%C3%A1c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108"/>
  <sheetViews>
    <sheetView topLeftCell="A43" zoomScale="80" zoomScaleNormal="80" workbookViewId="0">
      <selection activeCell="N55" sqref="N55"/>
    </sheetView>
  </sheetViews>
  <sheetFormatPr defaultRowHeight="15" x14ac:dyDescent="0.25"/>
  <cols>
    <col min="1" max="1" width="1.7109375" style="353" customWidth="1"/>
    <col min="2" max="2" width="31.85546875" style="353" customWidth="1"/>
    <col min="3" max="3" width="12.5703125" style="353" customWidth="1"/>
    <col min="4" max="4" width="11.5703125" style="353" customWidth="1"/>
    <col min="5" max="5" width="11.85546875" style="353" customWidth="1"/>
    <col min="6" max="6" width="12.5703125" style="353" customWidth="1"/>
    <col min="7" max="7" width="12" style="353" customWidth="1"/>
    <col min="8" max="8" width="13.140625" style="353" customWidth="1"/>
    <col min="9" max="9" width="12.140625" style="353" customWidth="1"/>
    <col min="10" max="10" width="11.28515625" style="353" customWidth="1"/>
    <col min="11" max="11" width="12.28515625" style="353" customWidth="1"/>
    <col min="12" max="12" width="12.42578125" style="353" customWidth="1"/>
    <col min="13" max="13" width="11.85546875" style="353" customWidth="1"/>
    <col min="14" max="14" width="10.85546875" style="353" customWidth="1"/>
    <col min="15" max="15" width="1.5703125" style="353" customWidth="1"/>
    <col min="16" max="16" width="30" style="353" customWidth="1"/>
    <col min="17" max="17" width="11.85546875" style="353" customWidth="1"/>
    <col min="18" max="18" width="10.85546875" style="353" customWidth="1"/>
    <col min="19" max="19" width="9.28515625" style="353" customWidth="1"/>
    <col min="20" max="28" width="9.140625" style="353"/>
    <col min="29" max="29" width="1.5703125" style="353" customWidth="1"/>
    <col min="30" max="30" width="5.7109375" style="353" customWidth="1"/>
    <col min="31" max="16384" width="9.140625" style="353"/>
  </cols>
  <sheetData>
    <row r="1" spans="2:28" ht="9" customHeight="1" x14ac:dyDescent="0.25"/>
    <row r="2" spans="2:28" ht="18.75" x14ac:dyDescent="0.3">
      <c r="B2" s="354"/>
      <c r="C2" s="355" t="s">
        <v>1340</v>
      </c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7"/>
      <c r="P2" s="358"/>
      <c r="Q2" s="355" t="s">
        <v>1871</v>
      </c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60"/>
    </row>
    <row r="3" spans="2:28" x14ac:dyDescent="0.25">
      <c r="B3" s="361"/>
      <c r="C3" s="362" t="s">
        <v>510</v>
      </c>
      <c r="D3" s="362" t="s">
        <v>511</v>
      </c>
      <c r="E3" s="362" t="s">
        <v>512</v>
      </c>
      <c r="F3" s="362" t="s">
        <v>513</v>
      </c>
      <c r="G3" s="362" t="s">
        <v>514</v>
      </c>
      <c r="H3" s="362" t="s">
        <v>515</v>
      </c>
      <c r="I3" s="362" t="s">
        <v>516</v>
      </c>
      <c r="J3" s="362" t="s">
        <v>517</v>
      </c>
      <c r="K3" s="362" t="s">
        <v>518</v>
      </c>
      <c r="L3" s="362" t="s">
        <v>519</v>
      </c>
      <c r="M3" s="362" t="s">
        <v>520</v>
      </c>
      <c r="N3" s="363" t="s">
        <v>521</v>
      </c>
      <c r="P3" s="361"/>
      <c r="Q3" s="364" t="s">
        <v>510</v>
      </c>
      <c r="R3" s="364" t="s">
        <v>511</v>
      </c>
      <c r="S3" s="364" t="s">
        <v>512</v>
      </c>
      <c r="T3" s="364" t="s">
        <v>513</v>
      </c>
      <c r="U3" s="364" t="s">
        <v>514</v>
      </c>
      <c r="V3" s="364" t="s">
        <v>515</v>
      </c>
      <c r="W3" s="364" t="s">
        <v>516</v>
      </c>
      <c r="X3" s="364" t="s">
        <v>517</v>
      </c>
      <c r="Y3" s="364" t="s">
        <v>518</v>
      </c>
      <c r="Z3" s="364" t="s">
        <v>519</v>
      </c>
      <c r="AA3" s="364" t="s">
        <v>520</v>
      </c>
      <c r="AB3" s="365" t="s">
        <v>521</v>
      </c>
    </row>
    <row r="4" spans="2:28" x14ac:dyDescent="0.25">
      <c r="B4" s="366" t="s">
        <v>35</v>
      </c>
      <c r="C4" s="367">
        <v>93</v>
      </c>
      <c r="D4" s="367">
        <v>93</v>
      </c>
      <c r="E4" s="367">
        <v>94</v>
      </c>
      <c r="F4" s="367">
        <v>94</v>
      </c>
      <c r="G4" s="367">
        <v>94</v>
      </c>
      <c r="H4" s="367">
        <v>95</v>
      </c>
      <c r="I4" s="367">
        <v>93</v>
      </c>
      <c r="J4" s="367">
        <v>90</v>
      </c>
      <c r="K4" s="367">
        <v>92</v>
      </c>
      <c r="L4" s="367">
        <v>92</v>
      </c>
      <c r="M4" s="367">
        <v>91</v>
      </c>
      <c r="N4" s="368">
        <v>91</v>
      </c>
      <c r="P4" s="369" t="s">
        <v>614</v>
      </c>
      <c r="Q4" s="370">
        <v>1864.45</v>
      </c>
      <c r="R4" s="370">
        <v>1671.45</v>
      </c>
      <c r="S4" s="371">
        <v>1942.25</v>
      </c>
      <c r="T4" s="371">
        <v>1532.65</v>
      </c>
      <c r="U4" s="371">
        <v>1843</v>
      </c>
      <c r="V4" s="371">
        <v>1927.05</v>
      </c>
      <c r="W4" s="371">
        <v>1637.25</v>
      </c>
      <c r="X4" s="371">
        <v>1811.45</v>
      </c>
      <c r="Y4" s="371">
        <v>1631.5</v>
      </c>
      <c r="Z4" s="371">
        <v>1871.41</v>
      </c>
      <c r="AA4" s="371">
        <v>1785.55</v>
      </c>
      <c r="AB4" s="372">
        <v>1583.97</v>
      </c>
    </row>
    <row r="5" spans="2:28" x14ac:dyDescent="0.25">
      <c r="B5" s="366" t="s">
        <v>30</v>
      </c>
      <c r="C5" s="367">
        <v>87</v>
      </c>
      <c r="D5" s="367">
        <v>88</v>
      </c>
      <c r="E5" s="367">
        <v>88</v>
      </c>
      <c r="F5" s="367">
        <v>86</v>
      </c>
      <c r="G5" s="367">
        <v>88</v>
      </c>
      <c r="H5" s="367">
        <v>89</v>
      </c>
      <c r="I5" s="367">
        <v>87</v>
      </c>
      <c r="J5" s="367">
        <v>85</v>
      </c>
      <c r="K5" s="367">
        <v>86</v>
      </c>
      <c r="L5" s="367">
        <v>85</v>
      </c>
      <c r="M5" s="367">
        <v>85</v>
      </c>
      <c r="N5" s="368">
        <v>85</v>
      </c>
      <c r="P5" s="369" t="s">
        <v>615</v>
      </c>
      <c r="Q5" s="373">
        <f>Q6-Q4</f>
        <v>70</v>
      </c>
      <c r="R5" s="371">
        <v>93</v>
      </c>
      <c r="S5" s="371">
        <f t="shared" ref="S5:AB5" si="0">S6-S4</f>
        <v>84</v>
      </c>
      <c r="T5" s="371">
        <f t="shared" si="0"/>
        <v>63.25</v>
      </c>
      <c r="U5" s="371">
        <f t="shared" si="0"/>
        <v>37.5</v>
      </c>
      <c r="V5" s="371">
        <f t="shared" si="0"/>
        <v>19.75</v>
      </c>
      <c r="W5" s="371">
        <f t="shared" si="0"/>
        <v>41.25</v>
      </c>
      <c r="X5" s="371">
        <f t="shared" si="0"/>
        <v>42.25</v>
      </c>
      <c r="Y5" s="371">
        <f t="shared" si="0"/>
        <v>57.75</v>
      </c>
      <c r="Z5" s="371">
        <f t="shared" si="0"/>
        <v>83</v>
      </c>
      <c r="AA5" s="371">
        <f t="shared" si="0"/>
        <v>77.5</v>
      </c>
      <c r="AB5" s="371">
        <f t="shared" si="0"/>
        <v>89</v>
      </c>
    </row>
    <row r="6" spans="2:28" x14ac:dyDescent="0.25">
      <c r="B6" s="366" t="s">
        <v>38</v>
      </c>
      <c r="C6" s="367">
        <v>17</v>
      </c>
      <c r="D6" s="367">
        <v>17</v>
      </c>
      <c r="E6" s="367">
        <v>18</v>
      </c>
      <c r="F6" s="367">
        <v>17</v>
      </c>
      <c r="G6" s="367">
        <v>17</v>
      </c>
      <c r="H6" s="367">
        <v>17</v>
      </c>
      <c r="I6" s="367">
        <v>16</v>
      </c>
      <c r="J6" s="367">
        <v>16</v>
      </c>
      <c r="K6" s="367">
        <v>16</v>
      </c>
      <c r="L6" s="367">
        <v>17</v>
      </c>
      <c r="M6" s="367">
        <v>17</v>
      </c>
      <c r="N6" s="368">
        <v>17</v>
      </c>
      <c r="P6" s="374" t="s">
        <v>616</v>
      </c>
      <c r="Q6" s="375">
        <v>1934.45</v>
      </c>
      <c r="R6" s="375">
        <v>1764.45</v>
      </c>
      <c r="S6" s="376">
        <v>2026.25</v>
      </c>
      <c r="T6" s="376">
        <v>1595.9</v>
      </c>
      <c r="U6" s="376">
        <v>1880.5</v>
      </c>
      <c r="V6" s="376">
        <v>1946.8</v>
      </c>
      <c r="W6" s="376">
        <v>1678.5</v>
      </c>
      <c r="X6" s="376">
        <v>1853.7</v>
      </c>
      <c r="Y6" s="376">
        <v>1689.25</v>
      </c>
      <c r="Z6" s="376">
        <v>1954.41</v>
      </c>
      <c r="AA6" s="376">
        <v>1863.05</v>
      </c>
      <c r="AB6" s="377">
        <v>1672.97</v>
      </c>
    </row>
    <row r="7" spans="2:28" x14ac:dyDescent="0.25">
      <c r="B7" s="366" t="s">
        <v>56</v>
      </c>
      <c r="C7" s="367">
        <v>48</v>
      </c>
      <c r="D7" s="367">
        <v>48</v>
      </c>
      <c r="E7" s="367">
        <v>49</v>
      </c>
      <c r="F7" s="367">
        <v>48</v>
      </c>
      <c r="G7" s="367">
        <v>49</v>
      </c>
      <c r="H7" s="367">
        <v>49</v>
      </c>
      <c r="I7" s="367">
        <v>48</v>
      </c>
      <c r="J7" s="367">
        <v>47</v>
      </c>
      <c r="K7" s="367">
        <v>48</v>
      </c>
      <c r="L7" s="367">
        <v>48</v>
      </c>
      <c r="M7" s="367">
        <v>49</v>
      </c>
      <c r="N7" s="368">
        <v>49</v>
      </c>
      <c r="P7" s="374" t="s">
        <v>618</v>
      </c>
      <c r="Q7" s="375">
        <v>26</v>
      </c>
      <c r="R7" s="375">
        <v>29</v>
      </c>
      <c r="S7" s="378">
        <v>30</v>
      </c>
      <c r="T7" s="376">
        <v>29</v>
      </c>
      <c r="U7" s="376">
        <v>31</v>
      </c>
      <c r="V7" s="376">
        <v>24</v>
      </c>
      <c r="W7" s="376">
        <v>30</v>
      </c>
      <c r="X7" s="376">
        <v>29</v>
      </c>
      <c r="Y7" s="376">
        <v>30</v>
      </c>
      <c r="Z7" s="376">
        <v>35</v>
      </c>
      <c r="AA7" s="376">
        <v>37</v>
      </c>
      <c r="AB7" s="377">
        <v>27</v>
      </c>
    </row>
    <row r="8" spans="2:28" x14ac:dyDescent="0.25">
      <c r="B8" s="366" t="s">
        <v>233</v>
      </c>
      <c r="C8" s="367">
        <v>1</v>
      </c>
      <c r="D8" s="367">
        <v>1</v>
      </c>
      <c r="E8" s="367">
        <v>1</v>
      </c>
      <c r="F8" s="367">
        <v>1</v>
      </c>
      <c r="G8" s="367">
        <v>1</v>
      </c>
      <c r="H8" s="367">
        <v>1</v>
      </c>
      <c r="I8" s="367">
        <v>1</v>
      </c>
      <c r="J8" s="367">
        <v>1</v>
      </c>
      <c r="K8" s="367">
        <v>1</v>
      </c>
      <c r="L8" s="367">
        <v>1</v>
      </c>
      <c r="M8" s="367">
        <v>1</v>
      </c>
      <c r="N8" s="368">
        <v>1</v>
      </c>
      <c r="P8" s="379" t="s">
        <v>617</v>
      </c>
      <c r="Q8" s="380">
        <f t="shared" ref="Q8:AB8" si="1">Q5/Q6</f>
        <v>3.6185996019540437E-2</v>
      </c>
      <c r="R8" s="380">
        <f t="shared" si="1"/>
        <v>5.2707642608178187E-2</v>
      </c>
      <c r="S8" s="380">
        <f t="shared" si="1"/>
        <v>4.1455891425046271E-2</v>
      </c>
      <c r="T8" s="380">
        <f t="shared" si="1"/>
        <v>3.9632809073250203E-2</v>
      </c>
      <c r="U8" s="380">
        <f t="shared" si="1"/>
        <v>1.9941504918904545E-2</v>
      </c>
      <c r="V8" s="380">
        <f t="shared" si="1"/>
        <v>1.0144853092253955E-2</v>
      </c>
      <c r="W8" s="380">
        <f t="shared" si="1"/>
        <v>2.4575513851653262E-2</v>
      </c>
      <c r="X8" s="380">
        <f t="shared" si="1"/>
        <v>2.2792253331175485E-2</v>
      </c>
      <c r="Y8" s="380">
        <f t="shared" si="1"/>
        <v>3.4186769276306053E-2</v>
      </c>
      <c r="Z8" s="380">
        <f t="shared" si="1"/>
        <v>4.2468059414350112E-2</v>
      </c>
      <c r="AA8" s="380">
        <f t="shared" si="1"/>
        <v>4.1598454147768443E-2</v>
      </c>
      <c r="AB8" s="380">
        <f t="shared" si="1"/>
        <v>5.3198802130343038E-2</v>
      </c>
    </row>
    <row r="9" spans="2:28" x14ac:dyDescent="0.25">
      <c r="B9" s="366" t="s">
        <v>45</v>
      </c>
      <c r="C9" s="367">
        <v>20</v>
      </c>
      <c r="D9" s="367">
        <v>20</v>
      </c>
      <c r="E9" s="367">
        <v>20</v>
      </c>
      <c r="F9" s="367">
        <v>20</v>
      </c>
      <c r="G9" s="367">
        <v>19</v>
      </c>
      <c r="H9" s="367">
        <v>20</v>
      </c>
      <c r="I9" s="367">
        <v>18</v>
      </c>
      <c r="J9" s="367">
        <v>18</v>
      </c>
      <c r="K9" s="367">
        <v>18</v>
      </c>
      <c r="L9" s="367">
        <v>18</v>
      </c>
      <c r="M9" s="367">
        <v>18</v>
      </c>
      <c r="N9" s="368">
        <v>18</v>
      </c>
      <c r="P9" s="381" t="s">
        <v>1175</v>
      </c>
      <c r="S9" s="382"/>
    </row>
    <row r="10" spans="2:28" x14ac:dyDescent="0.25">
      <c r="B10" s="383" t="s">
        <v>523</v>
      </c>
      <c r="C10" s="384">
        <f t="shared" ref="C10:N10" si="2">SUM(C4:C9)</f>
        <v>266</v>
      </c>
      <c r="D10" s="384">
        <f t="shared" si="2"/>
        <v>267</v>
      </c>
      <c r="E10" s="384">
        <f t="shared" si="2"/>
        <v>270</v>
      </c>
      <c r="F10" s="384">
        <f t="shared" si="2"/>
        <v>266</v>
      </c>
      <c r="G10" s="384">
        <f t="shared" si="2"/>
        <v>268</v>
      </c>
      <c r="H10" s="384">
        <f t="shared" si="2"/>
        <v>271</v>
      </c>
      <c r="I10" s="384">
        <f t="shared" si="2"/>
        <v>263</v>
      </c>
      <c r="J10" s="384">
        <f t="shared" si="2"/>
        <v>257</v>
      </c>
      <c r="K10" s="384">
        <f t="shared" si="2"/>
        <v>261</v>
      </c>
      <c r="L10" s="384">
        <f t="shared" si="2"/>
        <v>261</v>
      </c>
      <c r="M10" s="384">
        <f t="shared" si="2"/>
        <v>261</v>
      </c>
      <c r="N10" s="384">
        <f t="shared" si="2"/>
        <v>261</v>
      </c>
    </row>
    <row r="11" spans="2:28" x14ac:dyDescent="0.25">
      <c r="B11" s="385" t="s">
        <v>536</v>
      </c>
      <c r="C11" s="529">
        <v>-5</v>
      </c>
      <c r="D11" s="386">
        <f t="shared" ref="D11:N11" si="3">D10-C10</f>
        <v>1</v>
      </c>
      <c r="E11" s="386">
        <f t="shared" si="3"/>
        <v>3</v>
      </c>
      <c r="F11" s="529">
        <f t="shared" si="3"/>
        <v>-4</v>
      </c>
      <c r="G11" s="386">
        <f t="shared" si="3"/>
        <v>2</v>
      </c>
      <c r="H11" s="386">
        <f t="shared" si="3"/>
        <v>3</v>
      </c>
      <c r="I11" s="529">
        <f t="shared" si="3"/>
        <v>-8</v>
      </c>
      <c r="J11" s="529">
        <f t="shared" si="3"/>
        <v>-6</v>
      </c>
      <c r="K11" s="386">
        <f t="shared" si="3"/>
        <v>4</v>
      </c>
      <c r="L11" s="386">
        <f t="shared" si="3"/>
        <v>0</v>
      </c>
      <c r="M11" s="386">
        <f t="shared" si="3"/>
        <v>0</v>
      </c>
      <c r="N11" s="386">
        <f t="shared" si="3"/>
        <v>0</v>
      </c>
    </row>
    <row r="12" spans="2:28" x14ac:dyDescent="0.25">
      <c r="B12" s="387" t="s">
        <v>1134</v>
      </c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</row>
    <row r="13" spans="2:28" ht="18.75" x14ac:dyDescent="0.3">
      <c r="B13" s="389"/>
      <c r="C13" s="390" t="s">
        <v>522</v>
      </c>
      <c r="D13" s="391"/>
      <c r="E13" s="391"/>
      <c r="F13" s="391"/>
      <c r="G13" s="391"/>
      <c r="H13" s="392"/>
      <c r="I13" s="391"/>
      <c r="J13" s="391"/>
      <c r="K13" s="391"/>
      <c r="L13" s="391"/>
      <c r="M13" s="391"/>
      <c r="N13" s="393"/>
    </row>
    <row r="14" spans="2:28" x14ac:dyDescent="0.25">
      <c r="B14" s="361"/>
      <c r="C14" s="362" t="s">
        <v>510</v>
      </c>
      <c r="D14" s="362" t="s">
        <v>511</v>
      </c>
      <c r="E14" s="362" t="s">
        <v>512</v>
      </c>
      <c r="F14" s="362" t="s">
        <v>513</v>
      </c>
      <c r="G14" s="362" t="s">
        <v>514</v>
      </c>
      <c r="H14" s="362" t="s">
        <v>515</v>
      </c>
      <c r="I14" s="362" t="s">
        <v>516</v>
      </c>
      <c r="J14" s="362" t="s">
        <v>517</v>
      </c>
      <c r="K14" s="362" t="s">
        <v>518</v>
      </c>
      <c r="L14" s="362" t="s">
        <v>519</v>
      </c>
      <c r="M14" s="362" t="s">
        <v>520</v>
      </c>
      <c r="N14" s="363" t="s">
        <v>521</v>
      </c>
    </row>
    <row r="15" spans="2:28" x14ac:dyDescent="0.25">
      <c r="B15" s="366" t="s">
        <v>35</v>
      </c>
      <c r="C15" s="367">
        <v>50</v>
      </c>
      <c r="D15" s="367">
        <v>48</v>
      </c>
      <c r="E15" s="367">
        <v>49</v>
      </c>
      <c r="F15" s="367">
        <v>49</v>
      </c>
      <c r="G15" s="367">
        <v>49</v>
      </c>
      <c r="H15" s="367">
        <v>49</v>
      </c>
      <c r="I15" s="367">
        <v>47</v>
      </c>
      <c r="J15" s="367">
        <v>46</v>
      </c>
      <c r="K15" s="367">
        <v>46</v>
      </c>
      <c r="L15" s="367">
        <v>45</v>
      </c>
      <c r="M15" s="367">
        <v>43</v>
      </c>
      <c r="N15" s="368">
        <v>43</v>
      </c>
    </row>
    <row r="16" spans="2:28" x14ac:dyDescent="0.25">
      <c r="B16" s="366" t="s">
        <v>30</v>
      </c>
      <c r="C16" s="367">
        <v>37</v>
      </c>
      <c r="D16" s="367">
        <v>37</v>
      </c>
      <c r="E16" s="367">
        <v>38</v>
      </c>
      <c r="F16" s="367">
        <v>36</v>
      </c>
      <c r="G16" s="367">
        <v>38</v>
      </c>
      <c r="H16" s="367">
        <v>39</v>
      </c>
      <c r="I16" s="367">
        <v>39</v>
      </c>
      <c r="J16" s="367">
        <v>38</v>
      </c>
      <c r="K16" s="367">
        <v>38</v>
      </c>
      <c r="L16" s="367">
        <v>36</v>
      </c>
      <c r="M16" s="367">
        <v>36</v>
      </c>
      <c r="N16" s="368">
        <v>36</v>
      </c>
    </row>
    <row r="17" spans="2:28" x14ac:dyDescent="0.25">
      <c r="B17" s="366" t="s">
        <v>38</v>
      </c>
      <c r="C17" s="367">
        <v>4</v>
      </c>
      <c r="D17" s="367">
        <v>4</v>
      </c>
      <c r="E17" s="367">
        <v>4</v>
      </c>
      <c r="F17" s="367">
        <v>4</v>
      </c>
      <c r="G17" s="367">
        <v>4</v>
      </c>
      <c r="H17" s="367">
        <v>4</v>
      </c>
      <c r="I17" s="367">
        <v>3</v>
      </c>
      <c r="J17" s="367">
        <v>3</v>
      </c>
      <c r="K17" s="367">
        <v>4</v>
      </c>
      <c r="L17" s="367">
        <v>3</v>
      </c>
      <c r="M17" s="367">
        <v>3</v>
      </c>
      <c r="N17" s="368">
        <v>3</v>
      </c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</row>
    <row r="18" spans="2:28" x14ac:dyDescent="0.25">
      <c r="B18" s="366" t="s">
        <v>56</v>
      </c>
      <c r="C18" s="367">
        <v>18</v>
      </c>
      <c r="D18" s="367">
        <v>17</v>
      </c>
      <c r="E18" s="367">
        <v>18</v>
      </c>
      <c r="F18" s="367">
        <v>16</v>
      </c>
      <c r="G18" s="367">
        <v>16</v>
      </c>
      <c r="H18" s="367">
        <v>18</v>
      </c>
      <c r="I18" s="367">
        <v>18</v>
      </c>
      <c r="J18" s="367">
        <v>17</v>
      </c>
      <c r="K18" s="367">
        <v>18</v>
      </c>
      <c r="L18" s="367">
        <v>18</v>
      </c>
      <c r="M18" s="367">
        <v>18</v>
      </c>
      <c r="N18" s="368">
        <v>18</v>
      </c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</row>
    <row r="19" spans="2:28" x14ac:dyDescent="0.25">
      <c r="B19" s="366" t="s">
        <v>233</v>
      </c>
      <c r="C19" s="367">
        <v>1</v>
      </c>
      <c r="D19" s="367">
        <v>1</v>
      </c>
      <c r="E19" s="367">
        <v>1</v>
      </c>
      <c r="F19" s="367">
        <v>1</v>
      </c>
      <c r="G19" s="367">
        <v>1</v>
      </c>
      <c r="H19" s="367">
        <v>1</v>
      </c>
      <c r="I19" s="367">
        <v>1</v>
      </c>
      <c r="J19" s="367">
        <v>1</v>
      </c>
      <c r="K19" s="367">
        <v>1</v>
      </c>
      <c r="L19" s="367">
        <v>1</v>
      </c>
      <c r="M19" s="367">
        <v>1</v>
      </c>
      <c r="N19" s="368">
        <v>1</v>
      </c>
    </row>
    <row r="20" spans="2:28" x14ac:dyDescent="0.25">
      <c r="B20" s="366" t="s">
        <v>45</v>
      </c>
      <c r="C20" s="367">
        <v>9</v>
      </c>
      <c r="D20" s="367">
        <v>9</v>
      </c>
      <c r="E20" s="367">
        <v>9</v>
      </c>
      <c r="F20" s="367">
        <v>9</v>
      </c>
      <c r="G20" s="367">
        <v>8</v>
      </c>
      <c r="H20" s="367">
        <v>8</v>
      </c>
      <c r="I20" s="367">
        <v>8</v>
      </c>
      <c r="J20" s="367">
        <v>8</v>
      </c>
      <c r="K20" s="367">
        <v>8</v>
      </c>
      <c r="L20" s="367">
        <v>9</v>
      </c>
      <c r="M20" s="367">
        <v>9</v>
      </c>
      <c r="N20" s="368">
        <v>9</v>
      </c>
    </row>
    <row r="21" spans="2:28" ht="18.75" x14ac:dyDescent="0.3">
      <c r="B21" s="395" t="s">
        <v>523</v>
      </c>
      <c r="C21" s="396">
        <f t="shared" ref="C21:N21" si="4">SUM(C15:C20)</f>
        <v>119</v>
      </c>
      <c r="D21" s="396">
        <f t="shared" si="4"/>
        <v>116</v>
      </c>
      <c r="E21" s="396">
        <f t="shared" si="4"/>
        <v>119</v>
      </c>
      <c r="F21" s="396">
        <f t="shared" si="4"/>
        <v>115</v>
      </c>
      <c r="G21" s="396">
        <f t="shared" si="4"/>
        <v>116</v>
      </c>
      <c r="H21" s="396">
        <f t="shared" si="4"/>
        <v>119</v>
      </c>
      <c r="I21" s="396">
        <f t="shared" si="4"/>
        <v>116</v>
      </c>
      <c r="J21" s="396">
        <f t="shared" si="4"/>
        <v>113</v>
      </c>
      <c r="K21" s="396">
        <f t="shared" si="4"/>
        <v>115</v>
      </c>
      <c r="L21" s="396">
        <f t="shared" si="4"/>
        <v>112</v>
      </c>
      <c r="M21" s="396">
        <f t="shared" si="4"/>
        <v>110</v>
      </c>
      <c r="N21" s="396">
        <f t="shared" si="4"/>
        <v>110</v>
      </c>
      <c r="P21" s="358"/>
      <c r="Q21" s="355" t="s">
        <v>592</v>
      </c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60"/>
    </row>
    <row r="22" spans="2:28" x14ac:dyDescent="0.25">
      <c r="B22" s="385" t="s">
        <v>525</v>
      </c>
      <c r="C22" s="397">
        <f t="shared" ref="C22:N22" si="5">100/C10*C21*0.01</f>
        <v>0.44736842105263158</v>
      </c>
      <c r="D22" s="397">
        <f t="shared" si="5"/>
        <v>0.43445692883895137</v>
      </c>
      <c r="E22" s="397">
        <f t="shared" si="5"/>
        <v>0.44074074074074071</v>
      </c>
      <c r="F22" s="397">
        <f t="shared" si="5"/>
        <v>0.43233082706766918</v>
      </c>
      <c r="G22" s="397">
        <f t="shared" si="5"/>
        <v>0.43283582089552242</v>
      </c>
      <c r="H22" s="397">
        <f t="shared" si="5"/>
        <v>0.43911439114391143</v>
      </c>
      <c r="I22" s="397">
        <f t="shared" si="5"/>
        <v>0.4410646387832699</v>
      </c>
      <c r="J22" s="397">
        <f t="shared" si="5"/>
        <v>0.43968871595330739</v>
      </c>
      <c r="K22" s="397">
        <f t="shared" si="5"/>
        <v>0.44061302681992337</v>
      </c>
      <c r="L22" s="397">
        <f t="shared" si="5"/>
        <v>0.42911877394636017</v>
      </c>
      <c r="M22" s="397">
        <f t="shared" si="5"/>
        <v>0.42145593869731807</v>
      </c>
      <c r="N22" s="397">
        <f t="shared" si="5"/>
        <v>0.42145593869731807</v>
      </c>
      <c r="P22" s="361"/>
      <c r="Q22" s="364" t="s">
        <v>510</v>
      </c>
      <c r="R22" s="364" t="s">
        <v>511</v>
      </c>
      <c r="S22" s="364" t="s">
        <v>512</v>
      </c>
      <c r="T22" s="364" t="s">
        <v>513</v>
      </c>
      <c r="U22" s="364" t="s">
        <v>514</v>
      </c>
      <c r="V22" s="364" t="s">
        <v>515</v>
      </c>
      <c r="W22" s="364" t="s">
        <v>516</v>
      </c>
      <c r="X22" s="364" t="s">
        <v>517</v>
      </c>
      <c r="Y22" s="364" t="s">
        <v>518</v>
      </c>
      <c r="Z22" s="364" t="s">
        <v>519</v>
      </c>
      <c r="AA22" s="364" t="s">
        <v>520</v>
      </c>
      <c r="AB22" s="365" t="s">
        <v>521</v>
      </c>
    </row>
    <row r="23" spans="2:28" x14ac:dyDescent="0.25">
      <c r="B23" s="387" t="s">
        <v>1134</v>
      </c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P23" s="369" t="s">
        <v>541</v>
      </c>
      <c r="Q23" s="371">
        <v>252.75</v>
      </c>
      <c r="R23" s="371">
        <v>305.25</v>
      </c>
      <c r="S23" s="371">
        <v>243.55</v>
      </c>
      <c r="T23" s="371">
        <v>193.2</v>
      </c>
      <c r="U23" s="371">
        <v>228.15</v>
      </c>
      <c r="V23" s="371">
        <v>213.95</v>
      </c>
      <c r="W23" s="371">
        <v>212.25</v>
      </c>
      <c r="X23" s="371">
        <v>304.3</v>
      </c>
      <c r="Y23" s="371">
        <v>159.5</v>
      </c>
      <c r="Z23" s="371">
        <v>162.6</v>
      </c>
      <c r="AA23" s="371">
        <v>216</v>
      </c>
      <c r="AB23" s="372"/>
    </row>
    <row r="24" spans="2:28" ht="18.75" x14ac:dyDescent="0.3">
      <c r="B24" s="354"/>
      <c r="C24" s="355" t="s">
        <v>1873</v>
      </c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7"/>
      <c r="P24" s="374" t="s">
        <v>540</v>
      </c>
      <c r="Q24" s="376">
        <v>129.5</v>
      </c>
      <c r="R24" s="376">
        <v>120.45</v>
      </c>
      <c r="S24" s="376">
        <v>145.05000000000001</v>
      </c>
      <c r="T24" s="376">
        <v>88.5</v>
      </c>
      <c r="U24" s="376">
        <v>98.75</v>
      </c>
      <c r="V24" s="376">
        <v>123.25</v>
      </c>
      <c r="W24" s="376">
        <v>136.5</v>
      </c>
      <c r="X24" s="376">
        <v>221</v>
      </c>
      <c r="Y24" s="376">
        <v>71.5</v>
      </c>
      <c r="Z24" s="376">
        <v>95.05</v>
      </c>
      <c r="AA24" s="376">
        <v>106.5</v>
      </c>
      <c r="AB24" s="377"/>
    </row>
    <row r="25" spans="2:28" x14ac:dyDescent="0.25">
      <c r="B25" s="361"/>
      <c r="C25" s="362" t="s">
        <v>510</v>
      </c>
      <c r="D25" s="362" t="s">
        <v>511</v>
      </c>
      <c r="E25" s="362" t="s">
        <v>512</v>
      </c>
      <c r="F25" s="362" t="s">
        <v>513</v>
      </c>
      <c r="G25" s="362" t="s">
        <v>514</v>
      </c>
      <c r="H25" s="362" t="s">
        <v>515</v>
      </c>
      <c r="I25" s="362" t="s">
        <v>516</v>
      </c>
      <c r="J25" s="362" t="s">
        <v>517</v>
      </c>
      <c r="K25" s="362" t="s">
        <v>518</v>
      </c>
      <c r="L25" s="362" t="s">
        <v>519</v>
      </c>
      <c r="M25" s="362" t="s">
        <v>520</v>
      </c>
      <c r="N25" s="363" t="s">
        <v>521</v>
      </c>
      <c r="P25" s="379" t="s">
        <v>1872</v>
      </c>
      <c r="Q25" s="398">
        <f t="shared" ref="Q25:AA25" si="6">Q24/Q23</f>
        <v>0.51236399604352123</v>
      </c>
      <c r="R25" s="398">
        <f t="shared" si="6"/>
        <v>0.39459459459459462</v>
      </c>
      <c r="S25" s="398">
        <f t="shared" si="6"/>
        <v>0.59556559228084582</v>
      </c>
      <c r="T25" s="398">
        <f t="shared" si="6"/>
        <v>0.45807453416149069</v>
      </c>
      <c r="U25" s="398">
        <f t="shared" si="6"/>
        <v>0.43282927898312512</v>
      </c>
      <c r="V25" s="398">
        <f t="shared" si="6"/>
        <v>0.57606917504089739</v>
      </c>
      <c r="W25" s="398">
        <f t="shared" si="6"/>
        <v>0.64310954063604242</v>
      </c>
      <c r="X25" s="398">
        <f t="shared" si="6"/>
        <v>0.72625698324022347</v>
      </c>
      <c r="Y25" s="398">
        <f t="shared" si="6"/>
        <v>0.44827586206896552</v>
      </c>
      <c r="Z25" s="398">
        <f t="shared" si="6"/>
        <v>0.58456334563345635</v>
      </c>
      <c r="AA25" s="398">
        <f t="shared" si="6"/>
        <v>0.49305555555555558</v>
      </c>
      <c r="AB25" s="399"/>
    </row>
    <row r="26" spans="2:28" x14ac:dyDescent="0.25">
      <c r="B26" s="366" t="s">
        <v>35</v>
      </c>
      <c r="C26" s="367">
        <v>35576</v>
      </c>
      <c r="D26" s="367">
        <v>35829</v>
      </c>
      <c r="E26" s="367">
        <v>42826</v>
      </c>
      <c r="F26" s="353">
        <v>42826</v>
      </c>
      <c r="G26" s="353">
        <v>47826</v>
      </c>
      <c r="H26" s="353">
        <v>47826</v>
      </c>
      <c r="I26" s="353">
        <v>48586</v>
      </c>
      <c r="J26" s="367">
        <v>50469</v>
      </c>
      <c r="K26" s="401">
        <v>54986</v>
      </c>
      <c r="L26" s="402">
        <v>56763</v>
      </c>
      <c r="M26" s="367">
        <v>59630</v>
      </c>
      <c r="N26" s="368">
        <v>59630</v>
      </c>
      <c r="P26" s="400" t="s">
        <v>542</v>
      </c>
    </row>
    <row r="27" spans="2:28" x14ac:dyDescent="0.25">
      <c r="B27" s="366" t="s">
        <v>30</v>
      </c>
      <c r="C27" s="367">
        <v>45713</v>
      </c>
      <c r="D27" s="367">
        <v>48112</v>
      </c>
      <c r="E27" s="367">
        <v>48112</v>
      </c>
      <c r="F27" s="367">
        <v>49040</v>
      </c>
      <c r="G27" s="367">
        <v>60604</v>
      </c>
      <c r="H27" s="367">
        <v>60604</v>
      </c>
      <c r="I27" s="367">
        <v>61690</v>
      </c>
      <c r="J27" s="367">
        <v>61350</v>
      </c>
      <c r="K27" s="367">
        <v>64962</v>
      </c>
      <c r="L27" s="367">
        <v>75428</v>
      </c>
      <c r="M27" s="367">
        <v>75768</v>
      </c>
      <c r="N27" s="368">
        <v>75565</v>
      </c>
    </row>
    <row r="28" spans="2:28" ht="18.75" x14ac:dyDescent="0.3">
      <c r="B28" s="366" t="s">
        <v>38</v>
      </c>
      <c r="C28" s="367">
        <v>82974.2</v>
      </c>
      <c r="D28" s="367">
        <v>82974.2</v>
      </c>
      <c r="E28" s="367">
        <v>82974.2</v>
      </c>
      <c r="F28" s="367">
        <v>72974.2</v>
      </c>
      <c r="G28" s="367">
        <v>71534.2</v>
      </c>
      <c r="H28" s="367">
        <v>71534.2</v>
      </c>
      <c r="I28" s="367">
        <v>103015.2</v>
      </c>
      <c r="J28" s="367">
        <v>103015.2</v>
      </c>
      <c r="K28" s="367">
        <v>102015</v>
      </c>
      <c r="L28" s="367">
        <v>167298.20000000001</v>
      </c>
      <c r="M28" s="367">
        <v>167298.20000000001</v>
      </c>
      <c r="N28" s="368">
        <v>167298.20000000001</v>
      </c>
      <c r="P28" s="403"/>
      <c r="Q28" s="404" t="s">
        <v>1260</v>
      </c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6"/>
    </row>
    <row r="29" spans="2:28" x14ac:dyDescent="0.25">
      <c r="B29" s="366" t="s">
        <v>56</v>
      </c>
      <c r="C29" s="367">
        <v>13688.6</v>
      </c>
      <c r="D29" s="367">
        <v>10268.6</v>
      </c>
      <c r="E29" s="367">
        <v>12085.6</v>
      </c>
      <c r="F29" s="367">
        <v>10705.6</v>
      </c>
      <c r="G29" s="367">
        <v>10426.6</v>
      </c>
      <c r="H29" s="367">
        <v>11306.6</v>
      </c>
      <c r="I29" s="367">
        <v>10249.6</v>
      </c>
      <c r="J29" s="367">
        <v>7052.6</v>
      </c>
      <c r="K29" s="367">
        <v>10250</v>
      </c>
      <c r="L29" s="367">
        <v>10249.6</v>
      </c>
      <c r="M29" s="367">
        <v>10946.6</v>
      </c>
      <c r="N29" s="368">
        <v>10946.6</v>
      </c>
      <c r="P29" s="361"/>
      <c r="Q29" s="364" t="s">
        <v>510</v>
      </c>
      <c r="R29" s="364" t="s">
        <v>511</v>
      </c>
      <c r="S29" s="364" t="s">
        <v>512</v>
      </c>
      <c r="T29" s="364" t="s">
        <v>513</v>
      </c>
      <c r="U29" s="364" t="s">
        <v>514</v>
      </c>
      <c r="V29" s="364" t="s">
        <v>515</v>
      </c>
      <c r="W29" s="364" t="s">
        <v>516</v>
      </c>
      <c r="X29" s="364" t="s">
        <v>517</v>
      </c>
      <c r="Y29" s="364" t="s">
        <v>518</v>
      </c>
      <c r="Z29" s="364" t="s">
        <v>519</v>
      </c>
      <c r="AA29" s="364" t="s">
        <v>520</v>
      </c>
      <c r="AB29" s="365" t="s">
        <v>521</v>
      </c>
    </row>
    <row r="30" spans="2:28" x14ac:dyDescent="0.25">
      <c r="B30" s="366" t="s">
        <v>233</v>
      </c>
      <c r="C30" s="367">
        <v>-1613</v>
      </c>
      <c r="D30" s="367">
        <v>-1613</v>
      </c>
      <c r="E30" s="367">
        <v>-1613</v>
      </c>
      <c r="F30" s="367">
        <v>-1613</v>
      </c>
      <c r="G30" s="367">
        <v>-1613</v>
      </c>
      <c r="H30" s="367">
        <v>-1613</v>
      </c>
      <c r="I30" s="367">
        <v>-1613</v>
      </c>
      <c r="J30" s="367">
        <v>-1613</v>
      </c>
      <c r="K30" s="367">
        <v>-1613</v>
      </c>
      <c r="L30" s="402">
        <v>-1613</v>
      </c>
      <c r="M30" s="367">
        <v>-1613</v>
      </c>
      <c r="N30" s="368">
        <v>-1613</v>
      </c>
      <c r="P30" s="407" t="s">
        <v>417</v>
      </c>
      <c r="Q30" s="408">
        <v>9</v>
      </c>
      <c r="R30" s="353">
        <v>27</v>
      </c>
      <c r="S30" s="408">
        <v>17</v>
      </c>
      <c r="T30" s="408">
        <v>20</v>
      </c>
      <c r="U30" s="408">
        <v>18</v>
      </c>
      <c r="V30" s="408">
        <v>20</v>
      </c>
      <c r="W30" s="408">
        <v>26</v>
      </c>
      <c r="X30" s="408">
        <v>19</v>
      </c>
      <c r="Y30" s="408">
        <v>9</v>
      </c>
      <c r="Z30" s="408">
        <v>18</v>
      </c>
      <c r="AA30" s="408">
        <v>8</v>
      </c>
      <c r="AB30" s="409">
        <v>6</v>
      </c>
    </row>
    <row r="31" spans="2:28" x14ac:dyDescent="0.25">
      <c r="B31" s="366" t="s">
        <v>45</v>
      </c>
      <c r="C31" s="367">
        <v>114019.6</v>
      </c>
      <c r="D31" s="367">
        <v>114019.6</v>
      </c>
      <c r="E31" s="367">
        <v>114019.6</v>
      </c>
      <c r="F31" s="367">
        <v>138019.6</v>
      </c>
      <c r="G31" s="367">
        <v>136743.6</v>
      </c>
      <c r="H31" s="367">
        <v>136743.6</v>
      </c>
      <c r="I31" s="367">
        <v>122506.6</v>
      </c>
      <c r="J31" s="367">
        <v>122506.6</v>
      </c>
      <c r="K31" s="367">
        <v>122307</v>
      </c>
      <c r="L31" s="367">
        <v>119634.6</v>
      </c>
      <c r="M31" s="367">
        <v>119634.6</v>
      </c>
      <c r="N31" s="368">
        <v>119634.6</v>
      </c>
      <c r="P31" s="407" t="s">
        <v>44</v>
      </c>
      <c r="Q31" s="408">
        <v>34</v>
      </c>
      <c r="R31" s="353">
        <v>36</v>
      </c>
      <c r="S31" s="408">
        <v>35</v>
      </c>
      <c r="T31" s="408">
        <v>36</v>
      </c>
      <c r="U31" s="408">
        <v>68</v>
      </c>
      <c r="V31" s="408">
        <v>59</v>
      </c>
      <c r="W31" s="408">
        <v>42</v>
      </c>
      <c r="X31" s="408">
        <v>55</v>
      </c>
      <c r="Y31" s="408">
        <v>29</v>
      </c>
      <c r="Z31" s="408">
        <v>45</v>
      </c>
      <c r="AA31" s="408">
        <v>58</v>
      </c>
      <c r="AB31" s="409">
        <v>54</v>
      </c>
    </row>
    <row r="32" spans="2:28" x14ac:dyDescent="0.25">
      <c r="B32" s="395" t="s">
        <v>524</v>
      </c>
      <c r="C32" s="411">
        <f t="shared" ref="C32:N32" si="7">SUM(C26:C31)</f>
        <v>290358.40000000002</v>
      </c>
      <c r="D32" s="411">
        <f t="shared" si="7"/>
        <v>289590.40000000002</v>
      </c>
      <c r="E32" s="411">
        <f t="shared" si="7"/>
        <v>298404.40000000002</v>
      </c>
      <c r="F32" s="411">
        <f t="shared" si="7"/>
        <v>311952.40000000002</v>
      </c>
      <c r="G32" s="411">
        <f t="shared" si="7"/>
        <v>325521.40000000002</v>
      </c>
      <c r="H32" s="411">
        <f t="shared" si="7"/>
        <v>326401.40000000002</v>
      </c>
      <c r="I32" s="411">
        <f t="shared" si="7"/>
        <v>344434.4</v>
      </c>
      <c r="J32" s="411">
        <f t="shared" si="7"/>
        <v>342780.4</v>
      </c>
      <c r="K32" s="411">
        <f t="shared" si="7"/>
        <v>352907</v>
      </c>
      <c r="L32" s="411">
        <f t="shared" si="7"/>
        <v>427760.4</v>
      </c>
      <c r="M32" s="411">
        <f t="shared" si="7"/>
        <v>431664.4</v>
      </c>
      <c r="N32" s="411">
        <f t="shared" si="7"/>
        <v>431461.4</v>
      </c>
      <c r="P32" s="407" t="s">
        <v>272</v>
      </c>
      <c r="Q32" s="408">
        <v>36</v>
      </c>
      <c r="R32" s="388">
        <v>52</v>
      </c>
      <c r="S32" s="408">
        <v>45</v>
      </c>
      <c r="T32" s="408">
        <v>34</v>
      </c>
      <c r="U32" s="408">
        <v>48</v>
      </c>
      <c r="V32" s="408">
        <v>36</v>
      </c>
      <c r="W32" s="408">
        <v>59</v>
      </c>
      <c r="X32" s="408">
        <v>97</v>
      </c>
      <c r="Y32" s="408">
        <v>56</v>
      </c>
      <c r="Z32" s="408">
        <v>67</v>
      </c>
      <c r="AA32" s="408">
        <v>86</v>
      </c>
      <c r="AB32" s="409">
        <v>60</v>
      </c>
    </row>
    <row r="33" spans="2:28" x14ac:dyDescent="0.25">
      <c r="B33" s="387" t="s">
        <v>1134</v>
      </c>
      <c r="C33" s="388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P33" s="407" t="s">
        <v>544</v>
      </c>
      <c r="Q33" s="410">
        <v>6</v>
      </c>
      <c r="R33" s="353">
        <v>13</v>
      </c>
      <c r="S33" s="408">
        <v>7</v>
      </c>
      <c r="T33" s="408">
        <v>7</v>
      </c>
      <c r="U33" s="408">
        <v>9</v>
      </c>
      <c r="V33" s="408">
        <v>10</v>
      </c>
      <c r="W33" s="408">
        <v>13</v>
      </c>
      <c r="X33" s="408">
        <v>11</v>
      </c>
      <c r="Y33" s="408">
        <v>5</v>
      </c>
      <c r="Z33" s="408">
        <v>3</v>
      </c>
      <c r="AA33" s="408">
        <v>3</v>
      </c>
      <c r="AB33" s="409">
        <v>7</v>
      </c>
    </row>
    <row r="34" spans="2:28" ht="18.75" x14ac:dyDescent="0.3">
      <c r="B34" s="412"/>
      <c r="C34" s="413" t="s">
        <v>1874</v>
      </c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5"/>
      <c r="P34" s="407" t="s">
        <v>545</v>
      </c>
      <c r="Q34" s="410">
        <v>8</v>
      </c>
      <c r="R34" s="353">
        <v>16</v>
      </c>
      <c r="S34" s="408">
        <v>13</v>
      </c>
      <c r="T34" s="408">
        <v>20</v>
      </c>
      <c r="U34" s="408">
        <v>16</v>
      </c>
      <c r="V34" s="408">
        <v>11</v>
      </c>
      <c r="W34" s="408">
        <v>13</v>
      </c>
      <c r="X34" s="408">
        <v>8</v>
      </c>
      <c r="Y34" s="408">
        <v>4</v>
      </c>
      <c r="Z34" s="408">
        <v>12</v>
      </c>
      <c r="AA34" s="408">
        <v>4</v>
      </c>
      <c r="AB34" s="409">
        <v>13</v>
      </c>
    </row>
    <row r="35" spans="2:28" x14ac:dyDescent="0.25">
      <c r="B35" s="416"/>
      <c r="C35" s="362" t="s">
        <v>510</v>
      </c>
      <c r="D35" s="362" t="s">
        <v>511</v>
      </c>
      <c r="E35" s="362" t="s">
        <v>512</v>
      </c>
      <c r="F35" s="362" t="s">
        <v>513</v>
      </c>
      <c r="G35" s="362" t="s">
        <v>514</v>
      </c>
      <c r="H35" s="362" t="s">
        <v>515</v>
      </c>
      <c r="I35" s="362" t="s">
        <v>516</v>
      </c>
      <c r="J35" s="362" t="s">
        <v>517</v>
      </c>
      <c r="K35" s="362" t="s">
        <v>518</v>
      </c>
      <c r="L35" s="362" t="s">
        <v>519</v>
      </c>
      <c r="M35" s="362" t="s">
        <v>520</v>
      </c>
      <c r="N35" s="417" t="s">
        <v>521</v>
      </c>
      <c r="P35" s="407" t="s">
        <v>546</v>
      </c>
      <c r="Q35" s="410">
        <v>16</v>
      </c>
      <c r="R35" s="353">
        <v>32</v>
      </c>
      <c r="S35" s="408">
        <v>31</v>
      </c>
      <c r="T35" s="408">
        <v>28</v>
      </c>
      <c r="U35" s="408">
        <v>20</v>
      </c>
      <c r="V35" s="408">
        <v>24</v>
      </c>
      <c r="W35" s="408">
        <v>18</v>
      </c>
      <c r="X35" s="408">
        <v>18</v>
      </c>
      <c r="Y35" s="408">
        <v>26</v>
      </c>
      <c r="Z35" s="408">
        <v>20</v>
      </c>
      <c r="AA35" s="408">
        <v>24</v>
      </c>
      <c r="AB35" s="409">
        <v>18</v>
      </c>
    </row>
    <row r="36" spans="2:28" x14ac:dyDescent="0.25">
      <c r="B36" s="419" t="s">
        <v>35</v>
      </c>
      <c r="C36" s="367">
        <v>323513</v>
      </c>
      <c r="D36" s="367">
        <v>324346</v>
      </c>
      <c r="E36" s="367">
        <v>329846</v>
      </c>
      <c r="F36" s="367">
        <v>329846</v>
      </c>
      <c r="G36" s="367">
        <v>334846</v>
      </c>
      <c r="H36" s="367">
        <v>334846</v>
      </c>
      <c r="I36" s="353">
        <v>333646</v>
      </c>
      <c r="J36" s="420">
        <v>333646</v>
      </c>
      <c r="K36" s="367">
        <v>345046</v>
      </c>
      <c r="L36" s="367">
        <v>347066</v>
      </c>
      <c r="M36" s="367">
        <v>346546</v>
      </c>
      <c r="N36" s="547">
        <v>346546</v>
      </c>
      <c r="P36" s="407" t="s">
        <v>52</v>
      </c>
      <c r="Q36" s="410">
        <v>37</v>
      </c>
      <c r="R36" s="353">
        <v>30</v>
      </c>
      <c r="S36" s="408">
        <v>32</v>
      </c>
      <c r="T36" s="408">
        <v>26</v>
      </c>
      <c r="U36" s="408">
        <v>30</v>
      </c>
      <c r="V36" s="408">
        <v>35</v>
      </c>
      <c r="W36" s="408">
        <v>37</v>
      </c>
      <c r="X36" s="408">
        <v>57</v>
      </c>
      <c r="Y36" s="408">
        <v>40</v>
      </c>
      <c r="Z36" s="408">
        <v>47</v>
      </c>
      <c r="AA36" s="408">
        <v>56</v>
      </c>
      <c r="AB36" s="409">
        <v>13</v>
      </c>
    </row>
    <row r="37" spans="2:28" x14ac:dyDescent="0.25">
      <c r="B37" s="419" t="s">
        <v>30</v>
      </c>
      <c r="C37" s="367">
        <v>312651</v>
      </c>
      <c r="D37" s="367">
        <v>317801</v>
      </c>
      <c r="E37" s="402">
        <v>317801</v>
      </c>
      <c r="F37" s="367">
        <v>310846</v>
      </c>
      <c r="G37" s="367">
        <v>338873</v>
      </c>
      <c r="H37" s="367">
        <v>338873</v>
      </c>
      <c r="I37" s="367">
        <v>342113</v>
      </c>
      <c r="J37" s="422">
        <v>338922</v>
      </c>
      <c r="K37" s="367">
        <v>348053</v>
      </c>
      <c r="L37" s="367">
        <v>347553</v>
      </c>
      <c r="M37" s="367">
        <v>347553</v>
      </c>
      <c r="N37" s="423">
        <v>350253</v>
      </c>
      <c r="P37" s="407" t="s">
        <v>1888</v>
      </c>
      <c r="Q37" s="410">
        <v>32</v>
      </c>
      <c r="R37" s="353">
        <v>41</v>
      </c>
      <c r="S37" s="408">
        <v>40</v>
      </c>
      <c r="T37" s="408">
        <v>23</v>
      </c>
      <c r="U37" s="408">
        <v>18</v>
      </c>
      <c r="V37" s="408">
        <v>22</v>
      </c>
      <c r="W37" s="408">
        <v>9</v>
      </c>
      <c r="X37" s="408">
        <v>0</v>
      </c>
      <c r="Y37" s="408">
        <v>1</v>
      </c>
      <c r="Z37" s="408">
        <v>8</v>
      </c>
      <c r="AA37" s="408">
        <v>5</v>
      </c>
      <c r="AB37" s="409">
        <v>4</v>
      </c>
    </row>
    <row r="38" spans="2:28" x14ac:dyDescent="0.25">
      <c r="B38" s="419" t="s">
        <v>38</v>
      </c>
      <c r="C38" s="367">
        <v>202808</v>
      </c>
      <c r="D38" s="367">
        <v>202808</v>
      </c>
      <c r="E38" s="367">
        <v>202808</v>
      </c>
      <c r="F38" s="367">
        <v>192808</v>
      </c>
      <c r="G38" s="367">
        <v>192808</v>
      </c>
      <c r="H38" s="367">
        <v>192808</v>
      </c>
      <c r="I38" s="367">
        <v>220806</v>
      </c>
      <c r="J38" s="367">
        <v>220806</v>
      </c>
      <c r="K38" s="367">
        <f>177039</f>
        <v>177039</v>
      </c>
      <c r="L38" s="367">
        <v>289772</v>
      </c>
      <c r="M38" s="367">
        <v>289772</v>
      </c>
      <c r="N38" s="423">
        <v>290137</v>
      </c>
      <c r="P38" s="407" t="s">
        <v>547</v>
      </c>
      <c r="Q38" s="410">
        <v>6</v>
      </c>
      <c r="R38" s="353">
        <v>19</v>
      </c>
      <c r="S38" s="408">
        <v>21</v>
      </c>
      <c r="T38" s="408">
        <v>12</v>
      </c>
      <c r="U38" s="408">
        <v>21</v>
      </c>
      <c r="V38" s="408">
        <v>13</v>
      </c>
      <c r="W38" s="418">
        <v>15</v>
      </c>
      <c r="X38" s="408">
        <v>20</v>
      </c>
      <c r="Y38" s="408">
        <v>12</v>
      </c>
      <c r="Z38" s="408">
        <v>20</v>
      </c>
      <c r="AA38" s="408">
        <v>28</v>
      </c>
      <c r="AB38" s="409">
        <v>15</v>
      </c>
    </row>
    <row r="39" spans="2:28" x14ac:dyDescent="0.25">
      <c r="B39" s="419" t="s">
        <v>56</v>
      </c>
      <c r="C39" s="367">
        <v>155319.6</v>
      </c>
      <c r="D39" s="367">
        <v>151319.6</v>
      </c>
      <c r="E39" s="367">
        <v>157319.6</v>
      </c>
      <c r="F39" s="367">
        <v>155819.6</v>
      </c>
      <c r="G39" s="367">
        <v>163263.6</v>
      </c>
      <c r="H39" s="367">
        <v>164263.6</v>
      </c>
      <c r="I39" s="367">
        <v>159263.6</v>
      </c>
      <c r="J39" s="422">
        <v>149263.6</v>
      </c>
      <c r="K39" s="367">
        <v>158450</v>
      </c>
      <c r="L39" s="367">
        <v>159263.6</v>
      </c>
      <c r="M39" s="367">
        <v>164263.6</v>
      </c>
      <c r="N39" s="426">
        <v>164263.6</v>
      </c>
      <c r="P39" s="407" t="s">
        <v>180</v>
      </c>
      <c r="Q39" s="410">
        <v>12</v>
      </c>
      <c r="R39" s="353">
        <v>8</v>
      </c>
      <c r="S39" s="408">
        <v>9</v>
      </c>
      <c r="T39" s="408">
        <v>8</v>
      </c>
      <c r="U39" s="408">
        <v>9</v>
      </c>
      <c r="V39" s="408">
        <v>8</v>
      </c>
      <c r="W39" s="408">
        <v>14</v>
      </c>
      <c r="X39" s="408">
        <v>8</v>
      </c>
      <c r="Y39" s="408">
        <v>5</v>
      </c>
      <c r="Z39" s="408">
        <v>8</v>
      </c>
      <c r="AA39" s="408">
        <v>5</v>
      </c>
      <c r="AB39" s="409">
        <v>6</v>
      </c>
    </row>
    <row r="40" spans="2:28" x14ac:dyDescent="0.25">
      <c r="B40" s="419" t="s">
        <v>233</v>
      </c>
      <c r="C40" s="367">
        <v>150</v>
      </c>
      <c r="D40" s="367">
        <v>150</v>
      </c>
      <c r="E40" s="427">
        <v>150</v>
      </c>
      <c r="F40" s="367">
        <v>150</v>
      </c>
      <c r="G40" s="367">
        <v>150</v>
      </c>
      <c r="H40" s="367">
        <v>150</v>
      </c>
      <c r="I40" s="367">
        <v>150</v>
      </c>
      <c r="J40" s="367">
        <v>150</v>
      </c>
      <c r="K40" s="367">
        <v>150</v>
      </c>
      <c r="L40" s="367">
        <v>150</v>
      </c>
      <c r="M40" s="367">
        <v>150</v>
      </c>
      <c r="N40" s="423">
        <v>150</v>
      </c>
      <c r="P40" s="407" t="s">
        <v>126</v>
      </c>
      <c r="Q40" s="410">
        <v>2</v>
      </c>
      <c r="R40" s="353">
        <v>3</v>
      </c>
      <c r="S40" s="408">
        <v>3</v>
      </c>
      <c r="T40" s="408">
        <v>2</v>
      </c>
      <c r="U40" s="408">
        <v>2</v>
      </c>
      <c r="V40" s="408">
        <v>3</v>
      </c>
      <c r="W40" s="408">
        <v>2</v>
      </c>
      <c r="X40" s="408">
        <v>2</v>
      </c>
      <c r="Y40" s="408">
        <v>2</v>
      </c>
      <c r="Z40" s="408">
        <v>4</v>
      </c>
      <c r="AA40" s="408">
        <v>2</v>
      </c>
      <c r="AB40" s="409">
        <v>2</v>
      </c>
    </row>
    <row r="41" spans="2:28" x14ac:dyDescent="0.25">
      <c r="B41" s="419" t="s">
        <v>45</v>
      </c>
      <c r="C41" s="367">
        <v>165093</v>
      </c>
      <c r="D41" s="367">
        <v>165093</v>
      </c>
      <c r="E41" s="402">
        <v>165093</v>
      </c>
      <c r="F41" s="367">
        <v>189093</v>
      </c>
      <c r="G41" s="367">
        <v>188714</v>
      </c>
      <c r="H41" s="367">
        <v>188714</v>
      </c>
      <c r="I41" s="367">
        <v>169314</v>
      </c>
      <c r="J41" s="367">
        <v>169314</v>
      </c>
      <c r="K41" s="367">
        <v>169114</v>
      </c>
      <c r="L41" s="428">
        <v>167114</v>
      </c>
      <c r="M41" s="367">
        <v>167114</v>
      </c>
      <c r="N41" s="423">
        <v>167114</v>
      </c>
      <c r="P41" s="424" t="s">
        <v>548</v>
      </c>
      <c r="Q41" s="425">
        <f t="shared" ref="Q41:Y41" si="8">SUM(Q30:Q40)</f>
        <v>198</v>
      </c>
      <c r="R41" s="425">
        <f t="shared" si="8"/>
        <v>277</v>
      </c>
      <c r="S41" s="425">
        <f t="shared" si="8"/>
        <v>253</v>
      </c>
      <c r="T41" s="425">
        <f t="shared" si="8"/>
        <v>216</v>
      </c>
      <c r="U41" s="425">
        <f t="shared" si="8"/>
        <v>259</v>
      </c>
      <c r="V41" s="425">
        <f t="shared" si="8"/>
        <v>241</v>
      </c>
      <c r="W41" s="425">
        <f t="shared" si="8"/>
        <v>248</v>
      </c>
      <c r="X41" s="425">
        <f t="shared" si="8"/>
        <v>295</v>
      </c>
      <c r="Y41" s="425">
        <f t="shared" si="8"/>
        <v>189</v>
      </c>
      <c r="Z41" s="425">
        <f>SUM(Z30:Z40)</f>
        <v>252</v>
      </c>
      <c r="AA41" s="425">
        <f>SUM(AA30:AA40)</f>
        <v>279</v>
      </c>
      <c r="AB41" s="425">
        <f>SUM(AB30:AB40)</f>
        <v>198</v>
      </c>
    </row>
    <row r="42" spans="2:28" x14ac:dyDescent="0.25">
      <c r="B42" s="432" t="s">
        <v>524</v>
      </c>
      <c r="C42" s="433">
        <f t="shared" ref="C42:N42" si="9">SUM(C36:C41)</f>
        <v>1159534.6000000001</v>
      </c>
      <c r="D42" s="433">
        <f t="shared" si="9"/>
        <v>1161517.6000000001</v>
      </c>
      <c r="E42" s="433">
        <f t="shared" si="9"/>
        <v>1173017.6000000001</v>
      </c>
      <c r="F42" s="433">
        <f t="shared" si="9"/>
        <v>1178562.6000000001</v>
      </c>
      <c r="G42" s="433">
        <f t="shared" si="9"/>
        <v>1218654.6000000001</v>
      </c>
      <c r="H42" s="433">
        <f t="shared" si="9"/>
        <v>1219654.6000000001</v>
      </c>
      <c r="I42" s="433">
        <f t="shared" si="9"/>
        <v>1225292.6000000001</v>
      </c>
      <c r="J42" s="433">
        <f t="shared" si="9"/>
        <v>1212101.6000000001</v>
      </c>
      <c r="K42" s="433">
        <f t="shared" si="9"/>
        <v>1197852</v>
      </c>
      <c r="L42" s="433">
        <f t="shared" si="9"/>
        <v>1310918.6000000001</v>
      </c>
      <c r="M42" s="433">
        <f t="shared" si="9"/>
        <v>1315398.6000000001</v>
      </c>
      <c r="N42" s="433">
        <f t="shared" si="9"/>
        <v>1318463.6000000001</v>
      </c>
      <c r="P42" s="387" t="s">
        <v>1135</v>
      </c>
    </row>
    <row r="43" spans="2:28" ht="18.75" x14ac:dyDescent="0.3">
      <c r="B43" s="387" t="s">
        <v>1134</v>
      </c>
      <c r="P43" s="403"/>
      <c r="Q43" s="404" t="s">
        <v>565</v>
      </c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6"/>
    </row>
    <row r="44" spans="2:28" ht="18.75" x14ac:dyDescent="0.3">
      <c r="B44" s="599" t="s">
        <v>538</v>
      </c>
      <c r="C44" s="600"/>
      <c r="D44" s="600"/>
      <c r="E44" s="600"/>
      <c r="F44" s="600"/>
      <c r="G44" s="600"/>
      <c r="H44" s="600"/>
      <c r="I44" s="600"/>
      <c r="J44" s="600"/>
      <c r="K44" s="600"/>
      <c r="L44" s="600"/>
      <c r="M44" s="600"/>
      <c r="N44" s="601"/>
      <c r="P44" s="361"/>
      <c r="Q44" s="364" t="s">
        <v>510</v>
      </c>
      <c r="R44" s="364" t="s">
        <v>511</v>
      </c>
      <c r="S44" s="364" t="s">
        <v>512</v>
      </c>
      <c r="T44" s="364" t="s">
        <v>513</v>
      </c>
      <c r="U44" s="364" t="s">
        <v>514</v>
      </c>
      <c r="V44" s="364" t="s">
        <v>515</v>
      </c>
      <c r="W44" s="364" t="s">
        <v>516</v>
      </c>
      <c r="X44" s="364" t="s">
        <v>517</v>
      </c>
      <c r="Y44" s="364" t="s">
        <v>518</v>
      </c>
      <c r="Z44" s="364" t="s">
        <v>519</v>
      </c>
      <c r="AA44" s="364" t="s">
        <v>520</v>
      </c>
      <c r="AB44" s="365" t="s">
        <v>521</v>
      </c>
    </row>
    <row r="45" spans="2:28" x14ac:dyDescent="0.25">
      <c r="B45" s="438" t="s">
        <v>539</v>
      </c>
      <c r="C45" s="362" t="s">
        <v>510</v>
      </c>
      <c r="D45" s="362" t="s">
        <v>511</v>
      </c>
      <c r="E45" s="362" t="s">
        <v>512</v>
      </c>
      <c r="F45" s="362" t="s">
        <v>513</v>
      </c>
      <c r="G45" s="362" t="s">
        <v>514</v>
      </c>
      <c r="H45" s="362" t="s">
        <v>515</v>
      </c>
      <c r="I45" s="362" t="s">
        <v>516</v>
      </c>
      <c r="J45" s="362" t="s">
        <v>517</v>
      </c>
      <c r="K45" s="362" t="s">
        <v>518</v>
      </c>
      <c r="L45" s="362" t="s">
        <v>519</v>
      </c>
      <c r="M45" s="362" t="s">
        <v>520</v>
      </c>
      <c r="N45" s="417" t="s">
        <v>521</v>
      </c>
      <c r="P45" s="429" t="s">
        <v>566</v>
      </c>
      <c r="Q45" s="430">
        <v>431</v>
      </c>
      <c r="R45" s="430">
        <v>531</v>
      </c>
      <c r="S45" s="430"/>
      <c r="T45" s="431"/>
      <c r="U45" s="431"/>
      <c r="V45" s="431"/>
      <c r="W45" s="431"/>
      <c r="X45" s="431"/>
      <c r="Y45" s="430">
        <v>210</v>
      </c>
      <c r="Z45" s="431"/>
      <c r="AA45" s="430">
        <v>422</v>
      </c>
      <c r="AB45" s="588">
        <v>240</v>
      </c>
    </row>
    <row r="46" spans="2:28" x14ac:dyDescent="0.25">
      <c r="B46" s="439" t="s">
        <v>567</v>
      </c>
      <c r="C46" s="440">
        <v>19</v>
      </c>
      <c r="D46" s="440">
        <v>19</v>
      </c>
      <c r="E46" s="440">
        <v>19</v>
      </c>
      <c r="F46" s="440">
        <v>19</v>
      </c>
      <c r="G46" s="440">
        <v>19</v>
      </c>
      <c r="H46" s="440">
        <v>19</v>
      </c>
      <c r="I46" s="440">
        <v>19</v>
      </c>
      <c r="J46" s="440">
        <v>19</v>
      </c>
      <c r="K46" s="440">
        <v>24</v>
      </c>
      <c r="L46" s="440">
        <v>20</v>
      </c>
      <c r="M46" s="440">
        <v>20</v>
      </c>
      <c r="N46" s="441">
        <v>20</v>
      </c>
    </row>
    <row r="47" spans="2:28" ht="18.75" x14ac:dyDescent="0.3">
      <c r="B47" s="439" t="s">
        <v>573</v>
      </c>
      <c r="C47" s="440">
        <v>72</v>
      </c>
      <c r="D47" s="440">
        <v>73</v>
      </c>
      <c r="E47" s="440">
        <v>75</v>
      </c>
      <c r="F47" s="440">
        <v>75</v>
      </c>
      <c r="G47" s="440">
        <v>76</v>
      </c>
      <c r="H47" s="440">
        <v>76</v>
      </c>
      <c r="I47" s="440">
        <v>72</v>
      </c>
      <c r="J47" s="440">
        <v>70</v>
      </c>
      <c r="K47" s="440">
        <v>70</v>
      </c>
      <c r="L47" s="440">
        <v>75</v>
      </c>
      <c r="M47" s="440">
        <v>76</v>
      </c>
      <c r="N47" s="441">
        <v>76</v>
      </c>
      <c r="P47" s="434"/>
      <c r="Q47" s="435" t="s">
        <v>1318</v>
      </c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7"/>
    </row>
    <row r="48" spans="2:28" x14ac:dyDescent="0.25">
      <c r="B48" s="439" t="s">
        <v>568</v>
      </c>
      <c r="C48" s="440">
        <v>59</v>
      </c>
      <c r="D48" s="440">
        <v>58</v>
      </c>
      <c r="E48" s="440">
        <v>58</v>
      </c>
      <c r="F48" s="440">
        <v>58</v>
      </c>
      <c r="G48" s="440">
        <v>60</v>
      </c>
      <c r="H48" s="440">
        <v>60</v>
      </c>
      <c r="I48" s="440">
        <v>58</v>
      </c>
      <c r="J48" s="440">
        <v>59</v>
      </c>
      <c r="K48" s="440">
        <f>53+5</f>
        <v>58</v>
      </c>
      <c r="L48" s="440">
        <v>57</v>
      </c>
      <c r="M48" s="440">
        <v>57</v>
      </c>
      <c r="N48" s="441">
        <v>57</v>
      </c>
      <c r="P48" s="602" t="s">
        <v>1332</v>
      </c>
      <c r="Q48" s="603"/>
      <c r="R48" s="603"/>
      <c r="S48" s="603"/>
      <c r="T48" s="593" t="s">
        <v>1354</v>
      </c>
      <c r="U48" s="593"/>
      <c r="V48" s="593"/>
      <c r="W48" s="593"/>
      <c r="X48" s="593"/>
      <c r="Y48" s="593"/>
      <c r="Z48" s="593"/>
      <c r="AA48" s="593"/>
      <c r="AB48" s="594"/>
    </row>
    <row r="49" spans="2:31" x14ac:dyDescent="0.25">
      <c r="B49" s="439" t="s">
        <v>1382</v>
      </c>
      <c r="C49" s="442">
        <v>9</v>
      </c>
      <c r="D49" s="442">
        <v>9</v>
      </c>
      <c r="E49" s="442">
        <v>9</v>
      </c>
      <c r="F49" s="442">
        <v>9</v>
      </c>
      <c r="G49" s="443">
        <v>8</v>
      </c>
      <c r="H49" s="443">
        <v>8</v>
      </c>
      <c r="I49" s="443">
        <v>7</v>
      </c>
      <c r="J49" s="443">
        <v>7</v>
      </c>
      <c r="K49" s="443">
        <v>7</v>
      </c>
      <c r="L49" s="443">
        <v>5</v>
      </c>
      <c r="M49" s="443">
        <v>5</v>
      </c>
      <c r="N49" s="444">
        <v>5</v>
      </c>
      <c r="P49" s="602" t="s">
        <v>1334</v>
      </c>
      <c r="Q49" s="603"/>
      <c r="R49" s="603"/>
      <c r="S49" s="603"/>
      <c r="T49" s="593" t="s">
        <v>1353</v>
      </c>
      <c r="U49" s="593"/>
      <c r="V49" s="593"/>
      <c r="W49" s="593"/>
      <c r="X49" s="593"/>
      <c r="Y49" s="593"/>
      <c r="Z49" s="593"/>
      <c r="AA49" s="593"/>
      <c r="AB49" s="594"/>
    </row>
    <row r="50" spans="2:31" x14ac:dyDescent="0.25">
      <c r="B50" s="449" t="s">
        <v>569</v>
      </c>
      <c r="C50" s="450">
        <v>109</v>
      </c>
      <c r="D50" s="450">
        <v>109</v>
      </c>
      <c r="E50" s="450">
        <v>110</v>
      </c>
      <c r="F50" s="450">
        <v>107</v>
      </c>
      <c r="G50" s="450">
        <v>107</v>
      </c>
      <c r="H50" s="450">
        <v>107</v>
      </c>
      <c r="I50" s="450">
        <v>83</v>
      </c>
      <c r="J50" s="450">
        <v>104</v>
      </c>
      <c r="K50" s="450">
        <v>104</v>
      </c>
      <c r="L50" s="450">
        <v>106</v>
      </c>
      <c r="M50" s="450">
        <v>105</v>
      </c>
      <c r="N50" s="451">
        <v>105</v>
      </c>
      <c r="P50" s="591" t="s">
        <v>1383</v>
      </c>
      <c r="Q50" s="592"/>
      <c r="R50" s="592"/>
      <c r="S50" s="592"/>
      <c r="T50" s="593" t="s">
        <v>1352</v>
      </c>
      <c r="U50" s="593"/>
      <c r="V50" s="593"/>
      <c r="W50" s="593"/>
      <c r="X50" s="593"/>
      <c r="Y50" s="593"/>
      <c r="Z50" s="593"/>
      <c r="AA50" s="593"/>
      <c r="AB50" s="594"/>
    </row>
    <row r="51" spans="2:31" x14ac:dyDescent="0.25">
      <c r="B51" s="455"/>
      <c r="C51" s="456"/>
      <c r="D51" s="456"/>
      <c r="E51" s="456"/>
      <c r="F51" s="456"/>
      <c r="G51" s="456"/>
      <c r="H51" s="456"/>
      <c r="I51" s="456"/>
      <c r="J51" s="456"/>
      <c r="K51" s="456"/>
      <c r="L51" s="456"/>
      <c r="M51" s="456"/>
      <c r="N51" s="456"/>
      <c r="P51" s="595" t="s">
        <v>1338</v>
      </c>
      <c r="Q51" s="596"/>
      <c r="R51" s="596"/>
      <c r="S51" s="596"/>
      <c r="T51" s="597" t="s">
        <v>1351</v>
      </c>
      <c r="U51" s="597"/>
      <c r="V51" s="597"/>
      <c r="W51" s="597"/>
      <c r="X51" s="597"/>
      <c r="Y51" s="597"/>
      <c r="Z51" s="597"/>
      <c r="AA51" s="597"/>
      <c r="AB51" s="598"/>
      <c r="AE51" s="394"/>
    </row>
    <row r="52" spans="2:31" x14ac:dyDescent="0.25">
      <c r="B52" s="462"/>
      <c r="C52" s="462"/>
      <c r="D52" s="462"/>
      <c r="E52" s="456"/>
      <c r="F52" s="456"/>
      <c r="G52" s="456"/>
      <c r="H52" s="456"/>
      <c r="I52" s="456"/>
      <c r="J52" s="456"/>
      <c r="K52" s="456"/>
      <c r="L52" s="456"/>
      <c r="M52" s="456"/>
      <c r="N52" s="456"/>
      <c r="AE52" s="394"/>
    </row>
    <row r="53" spans="2:31" ht="18.75" x14ac:dyDescent="0.3">
      <c r="B53" s="463"/>
      <c r="C53" s="464" t="s">
        <v>1875</v>
      </c>
      <c r="D53" s="465"/>
      <c r="E53" s="465"/>
      <c r="F53" s="465"/>
      <c r="G53" s="465"/>
      <c r="H53" s="465"/>
      <c r="I53" s="465"/>
      <c r="J53" s="465"/>
      <c r="K53" s="465"/>
      <c r="L53" s="465"/>
      <c r="M53" s="465"/>
      <c r="N53" s="466"/>
      <c r="P53" s="445"/>
      <c r="Q53" s="446" t="s">
        <v>1341</v>
      </c>
      <c r="R53" s="447"/>
      <c r="S53" s="447"/>
      <c r="T53" s="447"/>
      <c r="U53" s="447"/>
      <c r="V53" s="447"/>
      <c r="W53" s="447"/>
      <c r="X53" s="447"/>
      <c r="Y53" s="447"/>
      <c r="Z53" s="447"/>
      <c r="AA53" s="447"/>
      <c r="AB53" s="448"/>
    </row>
    <row r="54" spans="2:31" x14ac:dyDescent="0.25">
      <c r="B54" s="473"/>
      <c r="C54" s="364" t="s">
        <v>510</v>
      </c>
      <c r="D54" s="364" t="s">
        <v>511</v>
      </c>
      <c r="E54" s="364" t="s">
        <v>512</v>
      </c>
      <c r="F54" s="364" t="s">
        <v>513</v>
      </c>
      <c r="G54" s="364" t="s">
        <v>514</v>
      </c>
      <c r="H54" s="364" t="s">
        <v>515</v>
      </c>
      <c r="I54" s="364" t="s">
        <v>516</v>
      </c>
      <c r="J54" s="364" t="s">
        <v>517</v>
      </c>
      <c r="K54" s="364" t="s">
        <v>518</v>
      </c>
      <c r="L54" s="364" t="s">
        <v>519</v>
      </c>
      <c r="M54" s="364" t="s">
        <v>520</v>
      </c>
      <c r="N54" s="474" t="s">
        <v>521</v>
      </c>
      <c r="P54" s="452"/>
      <c r="Q54" s="453" t="s">
        <v>510</v>
      </c>
      <c r="R54" s="453" t="s">
        <v>511</v>
      </c>
      <c r="S54" s="453" t="s">
        <v>512</v>
      </c>
      <c r="T54" s="453" t="s">
        <v>513</v>
      </c>
      <c r="U54" s="453" t="s">
        <v>514</v>
      </c>
      <c r="V54" s="453" t="s">
        <v>515</v>
      </c>
      <c r="W54" s="453" t="s">
        <v>516</v>
      </c>
      <c r="X54" s="453" t="s">
        <v>517</v>
      </c>
      <c r="Y54" s="453" t="s">
        <v>518</v>
      </c>
      <c r="Z54" s="453" t="s">
        <v>519</v>
      </c>
      <c r="AA54" s="453" t="s">
        <v>520</v>
      </c>
      <c r="AB54" s="454" t="s">
        <v>521</v>
      </c>
    </row>
    <row r="55" spans="2:31" s="394" customFormat="1" x14ac:dyDescent="0.25">
      <c r="B55" s="475" t="s">
        <v>662</v>
      </c>
      <c r="C55" s="476">
        <f>29+18</f>
        <v>47</v>
      </c>
      <c r="D55" s="476">
        <f>31+19</f>
        <v>50</v>
      </c>
      <c r="E55" s="476">
        <f>30+19</f>
        <v>49</v>
      </c>
      <c r="F55" s="476">
        <f>30+19</f>
        <v>49</v>
      </c>
      <c r="G55" s="476">
        <f>32+19</f>
        <v>51</v>
      </c>
      <c r="H55" s="476">
        <f>33+20</f>
        <v>53</v>
      </c>
      <c r="I55" s="476">
        <f>32+20</f>
        <v>52</v>
      </c>
      <c r="J55" s="476">
        <f>31+20</f>
        <v>51</v>
      </c>
      <c r="K55" s="476">
        <f>33+18</f>
        <v>51</v>
      </c>
      <c r="L55" s="476">
        <f>33+17</f>
        <v>50</v>
      </c>
      <c r="M55" s="476">
        <f>32+17</f>
        <v>49</v>
      </c>
      <c r="N55" s="477">
        <f>32+17</f>
        <v>49</v>
      </c>
      <c r="P55" s="457" t="s">
        <v>590</v>
      </c>
      <c r="Q55" s="458" t="s">
        <v>619</v>
      </c>
      <c r="R55" s="459" t="s">
        <v>620</v>
      </c>
      <c r="S55" s="459" t="s">
        <v>620</v>
      </c>
      <c r="T55" s="459" t="s">
        <v>620</v>
      </c>
      <c r="U55" s="459" t="s">
        <v>620</v>
      </c>
      <c r="V55" s="539" t="s">
        <v>1887</v>
      </c>
      <c r="W55" s="460"/>
      <c r="X55" s="460"/>
      <c r="Y55" s="460"/>
      <c r="Z55" s="460"/>
      <c r="AA55" s="460"/>
      <c r="AB55" s="461"/>
      <c r="AE55" s="353"/>
    </row>
    <row r="56" spans="2:31" s="394" customFormat="1" x14ac:dyDescent="0.25">
      <c r="B56" s="475" t="s">
        <v>667</v>
      </c>
      <c r="C56" s="480">
        <f>531+62</f>
        <v>593</v>
      </c>
      <c r="D56" s="480">
        <f>552+67</f>
        <v>619</v>
      </c>
      <c r="E56" s="480">
        <f>613.3+74.5</f>
        <v>687.8</v>
      </c>
      <c r="F56" s="480">
        <f>642+71</f>
        <v>713</v>
      </c>
      <c r="G56" s="480">
        <f>707+76</f>
        <v>783</v>
      </c>
      <c r="H56" s="480">
        <f>769+80</f>
        <v>849</v>
      </c>
      <c r="I56" s="480">
        <f>702+82</f>
        <v>784</v>
      </c>
      <c r="J56" s="480">
        <f>678+83</f>
        <v>761</v>
      </c>
      <c r="K56" s="480">
        <f>649+98</f>
        <v>747</v>
      </c>
      <c r="L56" s="480">
        <f>685+100</f>
        <v>785</v>
      </c>
      <c r="M56" s="480">
        <f>781+103</f>
        <v>884</v>
      </c>
      <c r="N56" s="481">
        <f>811+106</f>
        <v>917</v>
      </c>
      <c r="P56" s="457" t="s">
        <v>1261</v>
      </c>
      <c r="Q56" s="458" t="s">
        <v>619</v>
      </c>
      <c r="R56" s="459" t="s">
        <v>620</v>
      </c>
      <c r="S56" s="459" t="s">
        <v>620</v>
      </c>
      <c r="T56" s="459" t="s">
        <v>620</v>
      </c>
      <c r="U56" s="459" t="s">
        <v>620</v>
      </c>
      <c r="V56" s="459" t="s">
        <v>620</v>
      </c>
      <c r="W56" s="459" t="s">
        <v>620</v>
      </c>
      <c r="X56" s="539" t="s">
        <v>1887</v>
      </c>
      <c r="Y56" s="456"/>
      <c r="Z56" s="456"/>
      <c r="AA56" s="456"/>
      <c r="AB56" s="421"/>
      <c r="AE56" s="353"/>
    </row>
    <row r="57" spans="2:31" x14ac:dyDescent="0.25">
      <c r="B57" s="475" t="s">
        <v>1889</v>
      </c>
      <c r="C57" s="476">
        <f>59+24</f>
        <v>83</v>
      </c>
      <c r="D57" s="476">
        <f>60+24</f>
        <v>84</v>
      </c>
      <c r="E57" s="476">
        <f>58+24</f>
        <v>82</v>
      </c>
      <c r="F57" s="476">
        <f>58+24</f>
        <v>82</v>
      </c>
      <c r="G57" s="476">
        <f>62+24</f>
        <v>86</v>
      </c>
      <c r="H57" s="476">
        <f>65+24</f>
        <v>89</v>
      </c>
      <c r="I57" s="476">
        <f>67+24</f>
        <v>91</v>
      </c>
      <c r="J57" s="476">
        <f>69+24</f>
        <v>93</v>
      </c>
      <c r="K57" s="541">
        <f>72+23</f>
        <v>95</v>
      </c>
      <c r="L57" s="476">
        <f>72+23</f>
        <v>95</v>
      </c>
      <c r="M57" s="476">
        <f>71+22</f>
        <v>93</v>
      </c>
      <c r="N57" s="477">
        <f>72+23</f>
        <v>95</v>
      </c>
      <c r="P57" s="467" t="s">
        <v>1355</v>
      </c>
      <c r="Q57" s="468" t="s">
        <v>619</v>
      </c>
      <c r="R57" s="469" t="s">
        <v>620</v>
      </c>
      <c r="S57" s="470" t="s">
        <v>1422</v>
      </c>
      <c r="T57" s="471"/>
      <c r="U57" s="471"/>
      <c r="V57" s="471"/>
      <c r="W57" s="471"/>
      <c r="X57" s="471"/>
      <c r="Y57" s="471"/>
      <c r="Z57" s="471"/>
      <c r="AA57" s="471"/>
      <c r="AB57" s="472"/>
    </row>
    <row r="58" spans="2:31" x14ac:dyDescent="0.25">
      <c r="B58" s="484" t="s">
        <v>1890</v>
      </c>
      <c r="C58" s="485">
        <f>2283+314</f>
        <v>2597</v>
      </c>
      <c r="D58" s="485">
        <f>2326+322</f>
        <v>2648</v>
      </c>
      <c r="E58" s="485">
        <f>2462+337</f>
        <v>2799</v>
      </c>
      <c r="F58" s="485">
        <f>2525+331</f>
        <v>2856</v>
      </c>
      <c r="G58" s="485">
        <f>2615+345</f>
        <v>2960</v>
      </c>
      <c r="H58" s="485">
        <f>2802+354</f>
        <v>3156</v>
      </c>
      <c r="I58" s="485">
        <f>2784+359</f>
        <v>3143</v>
      </c>
      <c r="J58" s="485">
        <f>2729+360</f>
        <v>3089</v>
      </c>
      <c r="K58" s="485">
        <f>2788+389</f>
        <v>3177</v>
      </c>
      <c r="L58" s="485">
        <f>2900+384</f>
        <v>3284</v>
      </c>
      <c r="M58" s="485">
        <f>2954+391</f>
        <v>3345</v>
      </c>
      <c r="N58" s="486">
        <f>3090+407</f>
        <v>3497</v>
      </c>
    </row>
    <row r="59" spans="2:31" ht="18.75" x14ac:dyDescent="0.3">
      <c r="B59" s="487"/>
      <c r="C59" s="488" t="s">
        <v>665</v>
      </c>
      <c r="D59" s="488" t="s">
        <v>665</v>
      </c>
      <c r="E59" s="488" t="s">
        <v>665</v>
      </c>
      <c r="F59" s="488" t="s">
        <v>665</v>
      </c>
      <c r="G59" s="488" t="s">
        <v>665</v>
      </c>
      <c r="H59" s="488" t="s">
        <v>665</v>
      </c>
      <c r="I59" s="488" t="s">
        <v>665</v>
      </c>
      <c r="J59" s="488" t="s">
        <v>665</v>
      </c>
      <c r="K59" s="488" t="s">
        <v>665</v>
      </c>
      <c r="L59" s="488" t="s">
        <v>665</v>
      </c>
      <c r="M59" s="488" t="s">
        <v>665</v>
      </c>
      <c r="N59" s="489" t="s">
        <v>665</v>
      </c>
      <c r="P59" s="478" t="s">
        <v>690</v>
      </c>
      <c r="Q59" s="479"/>
    </row>
    <row r="60" spans="2:31" x14ac:dyDescent="0.25">
      <c r="P60" s="473"/>
      <c r="Q60" s="482" t="s">
        <v>515</v>
      </c>
    </row>
    <row r="61" spans="2:31" x14ac:dyDescent="0.25">
      <c r="E61" s="490"/>
      <c r="P61" s="439" t="s">
        <v>685</v>
      </c>
      <c r="Q61" s="483">
        <v>178</v>
      </c>
    </row>
    <row r="62" spans="2:31" x14ac:dyDescent="0.25">
      <c r="P62" s="439" t="s">
        <v>686</v>
      </c>
      <c r="Q62" s="483">
        <v>65</v>
      </c>
    </row>
    <row r="63" spans="2:31" x14ac:dyDescent="0.25">
      <c r="P63" s="439" t="s">
        <v>687</v>
      </c>
      <c r="Q63" s="483">
        <v>2</v>
      </c>
    </row>
    <row r="64" spans="2:31" x14ac:dyDescent="0.25">
      <c r="P64" s="439" t="s">
        <v>688</v>
      </c>
      <c r="Q64" s="483">
        <v>7</v>
      </c>
    </row>
    <row r="65" spans="2:32" x14ac:dyDescent="0.25">
      <c r="P65" s="439" t="s">
        <v>689</v>
      </c>
      <c r="Q65" s="483">
        <v>4</v>
      </c>
    </row>
    <row r="66" spans="2:32" x14ac:dyDescent="0.25">
      <c r="P66" s="491" t="s">
        <v>691</v>
      </c>
      <c r="Q66" s="492">
        <v>5</v>
      </c>
    </row>
    <row r="71" spans="2:32" ht="18.75" x14ac:dyDescent="0.3">
      <c r="B71" s="493"/>
      <c r="C71" s="494" t="s">
        <v>1347</v>
      </c>
      <c r="D71" s="494"/>
      <c r="E71" s="494"/>
      <c r="F71" s="494"/>
      <c r="G71" s="494"/>
      <c r="H71" s="494"/>
      <c r="I71" s="494"/>
      <c r="J71" s="494"/>
      <c r="K71" s="494"/>
      <c r="L71" s="494"/>
      <c r="M71" s="494"/>
      <c r="N71" s="495"/>
    </row>
    <row r="72" spans="2:32" x14ac:dyDescent="0.25">
      <c r="B72" s="473"/>
      <c r="C72" s="364" t="s">
        <v>510</v>
      </c>
      <c r="D72" s="364" t="s">
        <v>511</v>
      </c>
      <c r="E72" s="364" t="s">
        <v>512</v>
      </c>
      <c r="F72" s="364" t="s">
        <v>513</v>
      </c>
      <c r="G72" s="364" t="s">
        <v>514</v>
      </c>
      <c r="H72" s="364" t="s">
        <v>515</v>
      </c>
      <c r="I72" s="364" t="s">
        <v>516</v>
      </c>
      <c r="J72" s="364" t="s">
        <v>517</v>
      </c>
      <c r="K72" s="364" t="s">
        <v>518</v>
      </c>
      <c r="L72" s="364" t="s">
        <v>519</v>
      </c>
      <c r="M72" s="364" t="s">
        <v>520</v>
      </c>
      <c r="N72" s="474" t="s">
        <v>521</v>
      </c>
    </row>
    <row r="73" spans="2:32" x14ac:dyDescent="0.25">
      <c r="B73" s="496" t="s">
        <v>549</v>
      </c>
      <c r="C73" s="497">
        <v>26</v>
      </c>
      <c r="D73" s="497">
        <v>24</v>
      </c>
      <c r="E73" s="497">
        <v>19</v>
      </c>
      <c r="F73" s="497">
        <v>49</v>
      </c>
      <c r="G73" s="476">
        <v>59</v>
      </c>
      <c r="H73" s="497">
        <v>83</v>
      </c>
      <c r="I73" s="497">
        <v>71</v>
      </c>
      <c r="J73" s="497">
        <v>40</v>
      </c>
      <c r="K73" s="476">
        <v>33</v>
      </c>
      <c r="L73" s="476">
        <v>46</v>
      </c>
      <c r="M73" s="476">
        <v>50</v>
      </c>
      <c r="N73" s="477">
        <v>22</v>
      </c>
    </row>
    <row r="74" spans="2:32" x14ac:dyDescent="0.25">
      <c r="B74" s="496" t="s">
        <v>550</v>
      </c>
      <c r="C74" s="497">
        <v>3</v>
      </c>
      <c r="D74" s="497">
        <v>3</v>
      </c>
      <c r="E74" s="497">
        <v>1</v>
      </c>
      <c r="F74" s="497">
        <v>3</v>
      </c>
      <c r="G74" s="476">
        <v>4</v>
      </c>
      <c r="H74" s="497">
        <v>16</v>
      </c>
      <c r="I74" s="497">
        <v>24</v>
      </c>
      <c r="J74" s="497">
        <v>2</v>
      </c>
      <c r="K74" s="476">
        <v>7</v>
      </c>
      <c r="L74" s="476">
        <v>11</v>
      </c>
      <c r="M74" s="476">
        <v>19</v>
      </c>
      <c r="N74" s="477">
        <v>4</v>
      </c>
    </row>
    <row r="75" spans="2:32" x14ac:dyDescent="0.25">
      <c r="B75" s="496" t="s">
        <v>551</v>
      </c>
      <c r="C75" s="498">
        <v>252</v>
      </c>
      <c r="D75" s="497">
        <v>252</v>
      </c>
      <c r="E75" s="497">
        <v>284</v>
      </c>
      <c r="F75" s="497">
        <v>258</v>
      </c>
      <c r="G75" s="476">
        <v>279</v>
      </c>
      <c r="H75" s="497">
        <v>329</v>
      </c>
      <c r="I75" s="497">
        <v>225</v>
      </c>
      <c r="J75" s="497">
        <v>163</v>
      </c>
      <c r="K75" s="476">
        <v>161</v>
      </c>
      <c r="L75" s="476">
        <v>132</v>
      </c>
      <c r="M75" s="476">
        <v>139</v>
      </c>
      <c r="N75" s="477">
        <v>81</v>
      </c>
    </row>
    <row r="76" spans="2:32" x14ac:dyDescent="0.25">
      <c r="B76" s="496" t="s">
        <v>552</v>
      </c>
      <c r="C76" s="498">
        <v>213</v>
      </c>
      <c r="D76" s="497">
        <v>189</v>
      </c>
      <c r="E76" s="497">
        <v>309</v>
      </c>
      <c r="F76" s="497">
        <v>220</v>
      </c>
      <c r="G76" s="476">
        <v>246</v>
      </c>
      <c r="H76" s="497">
        <v>352</v>
      </c>
      <c r="I76" s="497">
        <v>180</v>
      </c>
      <c r="J76" s="497">
        <v>160</v>
      </c>
      <c r="K76" s="476">
        <v>198</v>
      </c>
      <c r="L76" s="476">
        <v>136</v>
      </c>
      <c r="M76" s="476">
        <v>113</v>
      </c>
      <c r="N76" s="477">
        <v>71</v>
      </c>
    </row>
    <row r="77" spans="2:32" x14ac:dyDescent="0.25">
      <c r="B77" s="496" t="s">
        <v>553</v>
      </c>
      <c r="C77" s="498">
        <v>178</v>
      </c>
      <c r="D77" s="497">
        <v>177</v>
      </c>
      <c r="E77" s="497">
        <v>235</v>
      </c>
      <c r="F77" s="497">
        <v>235</v>
      </c>
      <c r="G77" s="476">
        <v>294</v>
      </c>
      <c r="H77" s="497">
        <v>311</v>
      </c>
      <c r="I77" s="497">
        <v>145</v>
      </c>
      <c r="J77" s="497">
        <v>292</v>
      </c>
      <c r="K77" s="476">
        <v>221</v>
      </c>
      <c r="L77" s="476">
        <v>290</v>
      </c>
      <c r="M77" s="476">
        <v>314</v>
      </c>
      <c r="N77" s="477">
        <v>175</v>
      </c>
    </row>
    <row r="78" spans="2:32" x14ac:dyDescent="0.25">
      <c r="B78" s="496" t="s">
        <v>554</v>
      </c>
      <c r="C78" s="498">
        <v>198</v>
      </c>
      <c r="D78" s="497">
        <v>105</v>
      </c>
      <c r="E78" s="497">
        <v>183</v>
      </c>
      <c r="F78" s="497">
        <v>156</v>
      </c>
      <c r="G78" s="476">
        <v>161</v>
      </c>
      <c r="H78" s="497">
        <v>288</v>
      </c>
      <c r="I78" s="497">
        <v>185</v>
      </c>
      <c r="J78" s="497">
        <v>218</v>
      </c>
      <c r="K78" s="476">
        <v>132</v>
      </c>
      <c r="L78" s="476">
        <v>97</v>
      </c>
      <c r="M78" s="476">
        <v>72</v>
      </c>
      <c r="N78" s="477">
        <v>69</v>
      </c>
      <c r="AC78" s="394"/>
      <c r="AD78" s="394"/>
      <c r="AE78" s="394"/>
      <c r="AF78" s="394"/>
    </row>
    <row r="79" spans="2:32" x14ac:dyDescent="0.25">
      <c r="B79" s="496" t="s">
        <v>1881</v>
      </c>
      <c r="C79" s="498">
        <v>161</v>
      </c>
      <c r="D79" s="497">
        <v>208</v>
      </c>
      <c r="E79" s="497">
        <v>191</v>
      </c>
      <c r="F79" s="497">
        <v>210</v>
      </c>
      <c r="G79" s="476">
        <v>249</v>
      </c>
      <c r="H79" s="497">
        <v>260</v>
      </c>
      <c r="I79" s="497">
        <v>91</v>
      </c>
      <c r="J79" s="497">
        <v>0</v>
      </c>
      <c r="K79" s="476">
        <v>41</v>
      </c>
      <c r="L79" s="476">
        <v>192</v>
      </c>
      <c r="M79" s="476">
        <v>178</v>
      </c>
      <c r="N79" s="477">
        <v>104</v>
      </c>
    </row>
    <row r="80" spans="2:32" x14ac:dyDescent="0.25">
      <c r="B80" s="496" t="s">
        <v>556</v>
      </c>
      <c r="C80" s="498">
        <v>173</v>
      </c>
      <c r="D80" s="497">
        <v>191</v>
      </c>
      <c r="E80" s="497">
        <v>298</v>
      </c>
      <c r="F80" s="497">
        <v>213</v>
      </c>
      <c r="G80" s="476">
        <v>321</v>
      </c>
      <c r="H80" s="497">
        <v>234</v>
      </c>
      <c r="I80" s="497">
        <v>225</v>
      </c>
      <c r="J80" s="497">
        <v>343</v>
      </c>
      <c r="K80" s="476">
        <v>310</v>
      </c>
      <c r="L80" s="476">
        <v>292</v>
      </c>
      <c r="M80" s="476">
        <v>276</v>
      </c>
      <c r="N80" s="477">
        <v>209</v>
      </c>
    </row>
    <row r="81" spans="1:14" x14ac:dyDescent="0.25">
      <c r="B81" s="496" t="s">
        <v>557</v>
      </c>
      <c r="C81" s="498">
        <v>16</v>
      </c>
      <c r="D81" s="497">
        <v>36</v>
      </c>
      <c r="E81" s="497">
        <v>39</v>
      </c>
      <c r="F81" s="497">
        <v>9</v>
      </c>
      <c r="G81" s="476">
        <v>5</v>
      </c>
      <c r="H81" s="497">
        <v>16</v>
      </c>
      <c r="I81" s="497">
        <v>43</v>
      </c>
      <c r="J81" s="497">
        <v>29</v>
      </c>
      <c r="K81" s="476">
        <v>11</v>
      </c>
      <c r="L81" s="476">
        <v>29</v>
      </c>
      <c r="M81" s="476">
        <v>14</v>
      </c>
      <c r="N81" s="477">
        <v>35</v>
      </c>
    </row>
    <row r="82" spans="1:14" x14ac:dyDescent="0.25">
      <c r="B82" s="473"/>
      <c r="C82" s="364" t="s">
        <v>510</v>
      </c>
      <c r="D82" s="364" t="s">
        <v>511</v>
      </c>
      <c r="E82" s="364" t="s">
        <v>512</v>
      </c>
      <c r="F82" s="364" t="s">
        <v>513</v>
      </c>
      <c r="G82" s="364" t="s">
        <v>514</v>
      </c>
      <c r="H82" s="364" t="s">
        <v>515</v>
      </c>
      <c r="I82" s="364" t="s">
        <v>516</v>
      </c>
      <c r="J82" s="364" t="s">
        <v>517</v>
      </c>
      <c r="K82" s="364" t="s">
        <v>518</v>
      </c>
      <c r="L82" s="364" t="s">
        <v>519</v>
      </c>
      <c r="M82" s="364" t="s">
        <v>520</v>
      </c>
      <c r="N82" s="474" t="s">
        <v>521</v>
      </c>
    </row>
    <row r="83" spans="1:14" x14ac:dyDescent="0.25">
      <c r="B83" s="499" t="s">
        <v>548</v>
      </c>
      <c r="C83" s="500">
        <f t="shared" ref="C83" si="10">SUM(C73:C81)</f>
        <v>1220</v>
      </c>
      <c r="D83" s="500">
        <f t="shared" ref="D83:N83" si="11">SUM(D73:D81)</f>
        <v>1185</v>
      </c>
      <c r="E83" s="500">
        <f t="shared" si="11"/>
        <v>1559</v>
      </c>
      <c r="F83" s="500">
        <f t="shared" si="11"/>
        <v>1353</v>
      </c>
      <c r="G83" s="500">
        <f t="shared" si="11"/>
        <v>1618</v>
      </c>
      <c r="H83" s="500">
        <f t="shared" si="11"/>
        <v>1889</v>
      </c>
      <c r="I83" s="500">
        <f t="shared" si="11"/>
        <v>1189</v>
      </c>
      <c r="J83" s="500">
        <f t="shared" si="11"/>
        <v>1247</v>
      </c>
      <c r="K83" s="500">
        <f t="shared" si="11"/>
        <v>1114</v>
      </c>
      <c r="L83" s="500">
        <f t="shared" si="11"/>
        <v>1225</v>
      </c>
      <c r="M83" s="500">
        <f t="shared" si="11"/>
        <v>1175</v>
      </c>
      <c r="N83" s="500">
        <f t="shared" si="11"/>
        <v>770</v>
      </c>
    </row>
    <row r="85" spans="1:14" ht="18.75" x14ac:dyDescent="0.3">
      <c r="B85" s="501"/>
      <c r="C85" s="494" t="s">
        <v>1348</v>
      </c>
      <c r="D85" s="502"/>
      <c r="E85" s="502"/>
      <c r="F85" s="502"/>
      <c r="G85" s="502"/>
      <c r="H85" s="502"/>
      <c r="I85" s="502"/>
      <c r="J85" s="502"/>
      <c r="K85" s="502"/>
      <c r="L85" s="502"/>
      <c r="M85" s="502"/>
      <c r="N85" s="503"/>
    </row>
    <row r="86" spans="1:14" x14ac:dyDescent="0.25">
      <c r="B86" s="473"/>
      <c r="C86" s="364" t="s">
        <v>510</v>
      </c>
      <c r="D86" s="364" t="s">
        <v>511</v>
      </c>
      <c r="E86" s="364" t="s">
        <v>512</v>
      </c>
      <c r="F86" s="364" t="s">
        <v>513</v>
      </c>
      <c r="G86" s="364" t="s">
        <v>514</v>
      </c>
      <c r="H86" s="364" t="s">
        <v>515</v>
      </c>
      <c r="I86" s="364" t="s">
        <v>516</v>
      </c>
      <c r="J86" s="364" t="s">
        <v>517</v>
      </c>
      <c r="K86" s="364" t="s">
        <v>518</v>
      </c>
      <c r="L86" s="364" t="s">
        <v>519</v>
      </c>
      <c r="M86" s="364" t="s">
        <v>520</v>
      </c>
      <c r="N86" s="474" t="s">
        <v>521</v>
      </c>
    </row>
    <row r="87" spans="1:14" x14ac:dyDescent="0.25">
      <c r="B87" s="475" t="s">
        <v>561</v>
      </c>
      <c r="C87" s="497" t="s">
        <v>1342</v>
      </c>
      <c r="D87" s="497" t="s">
        <v>1377</v>
      </c>
      <c r="E87" s="497" t="s">
        <v>1407</v>
      </c>
      <c r="F87" s="497" t="s">
        <v>1418</v>
      </c>
      <c r="G87" s="497" t="s">
        <v>1425</v>
      </c>
      <c r="H87" s="497" t="s">
        <v>1773</v>
      </c>
      <c r="I87" s="497" t="s">
        <v>1832</v>
      </c>
      <c r="J87" s="497" t="s">
        <v>1848</v>
      </c>
      <c r="K87" s="506" t="s">
        <v>1885</v>
      </c>
      <c r="L87" s="543">
        <v>0.222</v>
      </c>
      <c r="M87" s="546" t="s">
        <v>1902</v>
      </c>
      <c r="N87" s="551" t="s">
        <v>1913</v>
      </c>
    </row>
    <row r="88" spans="1:14" x14ac:dyDescent="0.25">
      <c r="B88" s="475" t="s">
        <v>559</v>
      </c>
      <c r="C88" s="497" t="s">
        <v>1343</v>
      </c>
      <c r="D88" s="497" t="s">
        <v>1378</v>
      </c>
      <c r="E88" s="497" t="s">
        <v>1408</v>
      </c>
      <c r="F88" s="497" t="s">
        <v>1419</v>
      </c>
      <c r="G88" s="497" t="s">
        <v>1427</v>
      </c>
      <c r="H88" s="498" t="s">
        <v>1774</v>
      </c>
      <c r="I88" s="497" t="s">
        <v>1833</v>
      </c>
      <c r="J88" s="497" t="s">
        <v>1849</v>
      </c>
      <c r="K88" s="506" t="s">
        <v>1884</v>
      </c>
      <c r="L88" s="540" t="s">
        <v>1893</v>
      </c>
      <c r="M88" s="546" t="s">
        <v>1903</v>
      </c>
      <c r="N88" s="550" t="s">
        <v>1912</v>
      </c>
    </row>
    <row r="89" spans="1:14" x14ac:dyDescent="0.25">
      <c r="B89" s="504" t="s">
        <v>560</v>
      </c>
      <c r="C89" s="532" t="s">
        <v>1344</v>
      </c>
      <c r="D89" s="532" t="s">
        <v>1379</v>
      </c>
      <c r="E89" s="532" t="s">
        <v>1409</v>
      </c>
      <c r="F89" s="532" t="s">
        <v>1420</v>
      </c>
      <c r="G89" s="532" t="s">
        <v>1426</v>
      </c>
      <c r="H89" s="539" t="s">
        <v>1775</v>
      </c>
      <c r="I89" s="533" t="s">
        <v>1834</v>
      </c>
      <c r="J89" s="533" t="s">
        <v>1850</v>
      </c>
      <c r="K89" s="534" t="s">
        <v>1883</v>
      </c>
      <c r="L89" s="540" t="s">
        <v>1892</v>
      </c>
      <c r="M89" s="546" t="s">
        <v>1904</v>
      </c>
      <c r="N89" s="550" t="s">
        <v>1911</v>
      </c>
    </row>
    <row r="90" spans="1:14" x14ac:dyDescent="0.25">
      <c r="B90" s="531" t="s">
        <v>1776</v>
      </c>
      <c r="C90" s="506"/>
      <c r="D90" s="506"/>
      <c r="E90" s="506"/>
      <c r="F90" s="506"/>
      <c r="G90" s="506"/>
      <c r="H90" s="506" t="s">
        <v>1777</v>
      </c>
      <c r="I90" s="507" t="s">
        <v>1835</v>
      </c>
      <c r="J90" s="506" t="s">
        <v>1851</v>
      </c>
      <c r="K90" s="506" t="s">
        <v>1882</v>
      </c>
      <c r="L90" s="542" t="s">
        <v>1891</v>
      </c>
      <c r="M90" s="542" t="s">
        <v>1905</v>
      </c>
      <c r="N90" s="549" t="s">
        <v>1910</v>
      </c>
    </row>
    <row r="92" spans="1:14" ht="20.25" customHeight="1" x14ac:dyDescent="0.3">
      <c r="B92" s="508"/>
      <c r="C92" s="509" t="s">
        <v>1349</v>
      </c>
      <c r="D92" s="510"/>
      <c r="E92" s="510"/>
      <c r="F92" s="510"/>
      <c r="G92" s="510"/>
      <c r="H92" s="510"/>
      <c r="I92" s="510"/>
      <c r="J92" s="510"/>
      <c r="K92" s="510"/>
      <c r="L92" s="510"/>
      <c r="M92" s="510"/>
      <c r="N92" s="511"/>
    </row>
    <row r="93" spans="1:14" x14ac:dyDescent="0.25">
      <c r="A93" s="421"/>
      <c r="B93" s="361"/>
      <c r="C93" s="364" t="s">
        <v>510</v>
      </c>
      <c r="D93" s="364" t="s">
        <v>511</v>
      </c>
      <c r="E93" s="364" t="s">
        <v>512</v>
      </c>
      <c r="F93" s="364" t="s">
        <v>513</v>
      </c>
      <c r="G93" s="364" t="s">
        <v>514</v>
      </c>
      <c r="H93" s="364" t="s">
        <v>515</v>
      </c>
      <c r="I93" s="364" t="s">
        <v>516</v>
      </c>
      <c r="J93" s="364" t="s">
        <v>517</v>
      </c>
      <c r="K93" s="364" t="s">
        <v>518</v>
      </c>
      <c r="L93" s="364" t="s">
        <v>519</v>
      </c>
      <c r="M93" s="364" t="s">
        <v>520</v>
      </c>
      <c r="N93" s="365" t="s">
        <v>521</v>
      </c>
    </row>
    <row r="94" spans="1:14" x14ac:dyDescent="0.25">
      <c r="A94" s="421"/>
      <c r="B94" s="512" t="s">
        <v>562</v>
      </c>
      <c r="C94" s="513">
        <f>3925/60</f>
        <v>65.416666666666671</v>
      </c>
      <c r="D94" s="513">
        <v>64.3</v>
      </c>
      <c r="E94" s="513">
        <v>80</v>
      </c>
      <c r="F94" s="513">
        <v>74.599999999999994</v>
      </c>
      <c r="G94" s="513">
        <v>89.9</v>
      </c>
      <c r="H94" s="513">
        <v>101.1</v>
      </c>
      <c r="I94" s="514">
        <v>70.5</v>
      </c>
      <c r="J94" s="514">
        <v>71.2</v>
      </c>
      <c r="K94" s="514">
        <v>65.2</v>
      </c>
      <c r="L94" s="514">
        <v>76.3</v>
      </c>
      <c r="M94" s="514">
        <v>76.900000000000006</v>
      </c>
      <c r="N94" s="515">
        <v>49.8</v>
      </c>
    </row>
    <row r="95" spans="1:14" x14ac:dyDescent="0.25">
      <c r="B95" s="429" t="s">
        <v>563</v>
      </c>
      <c r="C95" s="516">
        <f>193/60</f>
        <v>3.2166666666666668</v>
      </c>
      <c r="D95" s="516">
        <v>3.26</v>
      </c>
      <c r="E95" s="516">
        <v>3</v>
      </c>
      <c r="F95" s="516">
        <v>3.3</v>
      </c>
      <c r="G95" s="516">
        <v>3.3</v>
      </c>
      <c r="H95" s="516">
        <v>3.2</v>
      </c>
      <c r="I95" s="517">
        <v>3.6</v>
      </c>
      <c r="J95" s="517">
        <v>3.4</v>
      </c>
      <c r="K95" s="517">
        <v>3.5</v>
      </c>
      <c r="L95" s="517">
        <v>3.7</v>
      </c>
      <c r="M95" s="517">
        <v>3.9</v>
      </c>
      <c r="N95" s="518">
        <v>3.9</v>
      </c>
    </row>
    <row r="96" spans="1:14" ht="18.75" customHeight="1" x14ac:dyDescent="0.25"/>
    <row r="97" spans="2:14" ht="15" customHeight="1" x14ac:dyDescent="0.3">
      <c r="B97" s="501"/>
      <c r="C97" s="494" t="s">
        <v>1350</v>
      </c>
      <c r="D97" s="502"/>
      <c r="E97" s="502"/>
      <c r="F97" s="502"/>
      <c r="G97" s="502"/>
      <c r="H97" s="502"/>
      <c r="I97" s="502"/>
      <c r="J97" s="502"/>
      <c r="K97" s="502"/>
      <c r="L97" s="502"/>
      <c r="M97" s="502"/>
      <c r="N97" s="503"/>
    </row>
    <row r="98" spans="2:14" x14ac:dyDescent="0.25">
      <c r="B98" s="519"/>
      <c r="C98" s="520" t="s">
        <v>510</v>
      </c>
      <c r="D98" s="520" t="s">
        <v>511</v>
      </c>
      <c r="E98" s="520" t="s">
        <v>512</v>
      </c>
      <c r="F98" s="520" t="s">
        <v>513</v>
      </c>
      <c r="G98" s="520" t="s">
        <v>514</v>
      </c>
      <c r="H98" s="520" t="s">
        <v>515</v>
      </c>
      <c r="I98" s="520" t="s">
        <v>516</v>
      </c>
      <c r="J98" s="520" t="s">
        <v>517</v>
      </c>
      <c r="K98" s="520" t="s">
        <v>518</v>
      </c>
      <c r="L98" s="520" t="s">
        <v>519</v>
      </c>
      <c r="M98" s="520" t="s">
        <v>520</v>
      </c>
      <c r="N98" s="521" t="s">
        <v>521</v>
      </c>
    </row>
    <row r="99" spans="2:14" x14ac:dyDescent="0.25">
      <c r="B99" s="475" t="s">
        <v>561</v>
      </c>
      <c r="C99" s="497">
        <v>14</v>
      </c>
      <c r="D99" s="497">
        <v>17</v>
      </c>
      <c r="E99" s="514">
        <v>11</v>
      </c>
      <c r="F99" s="514">
        <v>7</v>
      </c>
      <c r="G99" s="514">
        <v>13</v>
      </c>
      <c r="H99" s="514">
        <v>13</v>
      </c>
      <c r="I99" s="514">
        <v>11</v>
      </c>
      <c r="J99" s="514">
        <v>31</v>
      </c>
      <c r="K99" s="514">
        <v>8</v>
      </c>
      <c r="L99" s="514">
        <v>16</v>
      </c>
      <c r="M99" s="514">
        <v>15</v>
      </c>
      <c r="N99" s="522">
        <v>5</v>
      </c>
    </row>
    <row r="100" spans="2:14" x14ac:dyDescent="0.25">
      <c r="B100" s="475" t="s">
        <v>559</v>
      </c>
      <c r="C100" s="497">
        <v>8</v>
      </c>
      <c r="D100" s="497">
        <v>12</v>
      </c>
      <c r="E100" s="514">
        <v>18</v>
      </c>
      <c r="F100" s="514">
        <v>14</v>
      </c>
      <c r="G100" s="514">
        <v>47</v>
      </c>
      <c r="H100" s="514">
        <v>34</v>
      </c>
      <c r="I100" s="514">
        <v>24</v>
      </c>
      <c r="J100" s="514">
        <v>35</v>
      </c>
      <c r="K100" s="514">
        <v>64</v>
      </c>
      <c r="L100" s="514">
        <v>58</v>
      </c>
      <c r="M100" s="514">
        <v>59</v>
      </c>
      <c r="N100" s="522">
        <v>39</v>
      </c>
    </row>
    <row r="101" spans="2:14" x14ac:dyDescent="0.25">
      <c r="B101" s="475" t="s">
        <v>560</v>
      </c>
      <c r="C101" s="498">
        <v>21</v>
      </c>
      <c r="D101" s="497">
        <v>16</v>
      </c>
      <c r="E101" s="514">
        <v>20</v>
      </c>
      <c r="F101" s="514">
        <v>25</v>
      </c>
      <c r="G101" s="514">
        <v>28</v>
      </c>
      <c r="H101" s="514">
        <v>26</v>
      </c>
      <c r="I101" s="514">
        <v>13</v>
      </c>
      <c r="J101" s="514">
        <v>6</v>
      </c>
      <c r="K101" s="514">
        <v>14</v>
      </c>
      <c r="L101" s="514">
        <v>19</v>
      </c>
      <c r="M101" s="514">
        <v>8</v>
      </c>
      <c r="N101" s="522">
        <v>4</v>
      </c>
    </row>
    <row r="102" spans="2:14" ht="16.5" customHeight="1" x14ac:dyDescent="0.25">
      <c r="B102" s="505" t="s">
        <v>1776</v>
      </c>
      <c r="C102" s="498"/>
      <c r="D102" s="497"/>
      <c r="E102" s="514"/>
      <c r="F102" s="514"/>
      <c r="G102" s="514"/>
      <c r="H102" s="514">
        <v>26</v>
      </c>
      <c r="I102" s="514">
        <v>12</v>
      </c>
      <c r="J102" s="514">
        <v>4</v>
      </c>
      <c r="K102" s="514">
        <v>6</v>
      </c>
      <c r="L102" s="514">
        <v>2</v>
      </c>
      <c r="M102" s="514">
        <v>4</v>
      </c>
      <c r="N102" s="522">
        <v>2</v>
      </c>
    </row>
    <row r="103" spans="2:14" x14ac:dyDescent="0.25">
      <c r="B103" s="523" t="s">
        <v>548</v>
      </c>
      <c r="C103" s="524">
        <f>SUM(C99:C101)</f>
        <v>43</v>
      </c>
      <c r="D103" s="524">
        <f>SUM(D99:D101)</f>
        <v>45</v>
      </c>
      <c r="E103" s="524">
        <f>SUM(E99:E101)</f>
        <v>49</v>
      </c>
      <c r="F103" s="524">
        <f>SUM(F99:F101)</f>
        <v>46</v>
      </c>
      <c r="G103" s="524">
        <f>SUM(G99:G101)</f>
        <v>88</v>
      </c>
      <c r="H103" s="524">
        <f>SUM(H99:H102)</f>
        <v>99</v>
      </c>
      <c r="I103" s="524">
        <f>SUM(I99:I102)</f>
        <v>60</v>
      </c>
      <c r="J103" s="524">
        <f>SUM(J99:J102)</f>
        <v>76</v>
      </c>
      <c r="K103" s="524">
        <f>SUM(K99:K102)</f>
        <v>92</v>
      </c>
      <c r="L103" s="524">
        <v>95</v>
      </c>
      <c r="M103" s="524">
        <v>95</v>
      </c>
      <c r="N103" s="524">
        <v>50</v>
      </c>
    </row>
    <row r="104" spans="2:14" ht="48.75" customHeight="1" x14ac:dyDescent="0.25">
      <c r="B104" s="456"/>
      <c r="C104" s="535"/>
      <c r="D104" s="525"/>
      <c r="E104" s="525"/>
      <c r="F104" s="537" t="s">
        <v>1423</v>
      </c>
      <c r="G104" s="536"/>
      <c r="H104" s="536"/>
      <c r="I104" s="536"/>
      <c r="J104" s="525"/>
      <c r="K104" s="538" t="s">
        <v>1886</v>
      </c>
      <c r="L104" s="525"/>
      <c r="M104" s="526"/>
      <c r="N104" s="456"/>
    </row>
    <row r="108" spans="2:14" ht="24.75" customHeight="1" x14ac:dyDescent="0.25"/>
  </sheetData>
  <mergeCells count="9">
    <mergeCell ref="P50:S50"/>
    <mergeCell ref="T50:AB50"/>
    <mergeCell ref="P51:S51"/>
    <mergeCell ref="T51:AB51"/>
    <mergeCell ref="B44:N44"/>
    <mergeCell ref="P48:S48"/>
    <mergeCell ref="T48:AB48"/>
    <mergeCell ref="P49:S49"/>
    <mergeCell ref="T49:AB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2"/>
  <sheetViews>
    <sheetView tabSelected="1" topLeftCell="A226" zoomScale="80" zoomScaleNormal="80" workbookViewId="0">
      <pane xSplit="1" topLeftCell="B1" activePane="topRight" state="frozen"/>
      <selection pane="topRight" activeCell="G217" sqref="G1:G1048576"/>
    </sheetView>
  </sheetViews>
  <sheetFormatPr defaultRowHeight="18" customHeight="1" x14ac:dyDescent="0.25"/>
  <cols>
    <col min="1" max="1" width="48.7109375" style="3" customWidth="1"/>
    <col min="2" max="2" width="21.7109375" customWidth="1"/>
    <col min="3" max="3" width="4.28515625" customWidth="1"/>
    <col min="4" max="4" width="4.140625" customWidth="1"/>
    <col min="5" max="5" width="2.85546875" customWidth="1"/>
    <col min="6" max="6" width="4.140625" customWidth="1"/>
    <col min="7" max="7" width="18.42578125" style="2" bestFit="1" customWidth="1"/>
    <col min="8" max="8" width="25.85546875" style="2" bestFit="1" customWidth="1"/>
    <col min="9" max="9" width="25.28515625" style="2" customWidth="1"/>
    <col min="10" max="10" width="25.28515625" style="15" customWidth="1"/>
    <col min="11" max="11" width="28.85546875" customWidth="1"/>
    <col min="12" max="12" width="20" bestFit="1" customWidth="1"/>
    <col min="13" max="13" width="13" bestFit="1" customWidth="1"/>
    <col min="14" max="14" width="36.5703125" bestFit="1" customWidth="1"/>
    <col min="15" max="15" width="18.28515625" bestFit="1" customWidth="1"/>
    <col min="16" max="16" width="20" bestFit="1" customWidth="1"/>
    <col min="17" max="17" width="19" bestFit="1" customWidth="1"/>
    <col min="18" max="19" width="36.5703125" bestFit="1" customWidth="1"/>
    <col min="20" max="20" width="18" bestFit="1" customWidth="1"/>
    <col min="21" max="21" width="10.42578125" bestFit="1" customWidth="1"/>
    <col min="22" max="22" width="18.140625" bestFit="1" customWidth="1"/>
    <col min="23" max="23" width="10" bestFit="1" customWidth="1"/>
    <col min="24" max="24" width="13.28515625" bestFit="1" customWidth="1"/>
    <col min="25" max="25" width="13.85546875" bestFit="1" customWidth="1"/>
    <col min="26" max="26" width="15.140625" bestFit="1" customWidth="1"/>
    <col min="27" max="27" width="32.42578125" bestFit="1" customWidth="1"/>
    <col min="28" max="28" width="10.7109375" bestFit="1" customWidth="1"/>
    <col min="29" max="29" width="13" bestFit="1" customWidth="1"/>
    <col min="30" max="30" width="28.28515625" bestFit="1" customWidth="1"/>
    <col min="31" max="31" width="10" bestFit="1" customWidth="1"/>
    <col min="32" max="32" width="13.5703125" style="2" bestFit="1" customWidth="1"/>
    <col min="33" max="33" width="10.42578125" bestFit="1" customWidth="1"/>
    <col min="34" max="34" width="36.5703125" customWidth="1"/>
    <col min="35" max="35" width="13.28515625" bestFit="1" customWidth="1"/>
    <col min="36" max="36" width="11.7109375" bestFit="1" customWidth="1"/>
    <col min="37" max="37" width="15.28515625" bestFit="1" customWidth="1"/>
    <col min="38" max="38" width="10" bestFit="1" customWidth="1"/>
    <col min="39" max="39" width="13" bestFit="1" customWidth="1"/>
    <col min="40" max="40" width="11.5703125" bestFit="1" customWidth="1"/>
    <col min="41" max="41" width="12.5703125" bestFit="1" customWidth="1"/>
    <col min="42" max="42" width="11.42578125" bestFit="1" customWidth="1"/>
    <col min="43" max="43" width="10.42578125" bestFit="1" customWidth="1"/>
    <col min="44" max="45" width="9.7109375" bestFit="1" customWidth="1"/>
    <col min="46" max="46" width="28" style="530" customWidth="1"/>
    <col min="47" max="47" width="18" bestFit="1" customWidth="1"/>
    <col min="48" max="48" width="9.7109375" bestFit="1" customWidth="1"/>
    <col min="49" max="49" width="36.5703125" style="142" bestFit="1" customWidth="1"/>
    <col min="50" max="50" width="34.85546875" bestFit="1" customWidth="1"/>
  </cols>
  <sheetData>
    <row r="1" spans="1:50" ht="18" customHeight="1" x14ac:dyDescent="0.25">
      <c r="A1" s="347" t="s">
        <v>1229</v>
      </c>
      <c r="B1" s="347"/>
      <c r="C1" s="347"/>
      <c r="D1" s="347"/>
      <c r="E1" s="348"/>
      <c r="F1" s="348"/>
      <c r="G1" s="589"/>
      <c r="H1" s="347"/>
      <c r="I1" s="347"/>
      <c r="J1" s="347"/>
      <c r="K1" s="347"/>
      <c r="L1" s="347"/>
      <c r="M1" s="348"/>
      <c r="N1" s="347"/>
      <c r="O1" s="348"/>
      <c r="P1" s="348"/>
      <c r="Q1" s="347"/>
      <c r="R1" s="347"/>
      <c r="S1" s="347"/>
      <c r="T1" s="347"/>
      <c r="U1" s="348"/>
      <c r="V1" s="348"/>
      <c r="W1" s="348"/>
      <c r="X1" s="348"/>
      <c r="Y1" s="348"/>
      <c r="Z1" s="348"/>
      <c r="AA1" s="348"/>
      <c r="AB1" s="347"/>
      <c r="AC1" s="347"/>
      <c r="AD1" s="347"/>
      <c r="AE1" s="347"/>
      <c r="AF1" s="348"/>
      <c r="AG1" s="347"/>
      <c r="AH1" s="99"/>
    </row>
    <row r="2" spans="1:50" ht="18" customHeight="1" x14ac:dyDescent="0.25">
      <c r="A2" s="527" t="s">
        <v>0</v>
      </c>
      <c r="B2" s="527" t="s">
        <v>1751</v>
      </c>
      <c r="C2" s="527" t="s">
        <v>1</v>
      </c>
      <c r="D2" s="544" t="s">
        <v>2</v>
      </c>
      <c r="E2" s="527" t="s">
        <v>1752</v>
      </c>
      <c r="F2" s="527" t="s">
        <v>1753</v>
      </c>
      <c r="G2" s="527" t="s">
        <v>1754</v>
      </c>
      <c r="H2" s="527" t="s">
        <v>1755</v>
      </c>
      <c r="I2" s="527" t="s">
        <v>1756</v>
      </c>
      <c r="J2" s="527" t="s">
        <v>1757</v>
      </c>
      <c r="K2" s="527" t="s">
        <v>1758</v>
      </c>
      <c r="L2" s="527" t="s">
        <v>1759</v>
      </c>
      <c r="M2" s="527" t="s">
        <v>1760</v>
      </c>
      <c r="N2" s="527" t="s">
        <v>1761</v>
      </c>
      <c r="O2" s="527" t="s">
        <v>1762</v>
      </c>
      <c r="P2" s="527" t="s">
        <v>1763</v>
      </c>
      <c r="Q2" s="527" t="s">
        <v>1764</v>
      </c>
      <c r="R2" s="527" t="s">
        <v>1765</v>
      </c>
      <c r="S2" s="527" t="s">
        <v>1766</v>
      </c>
      <c r="T2" s="527" t="s">
        <v>1767</v>
      </c>
      <c r="U2" s="527" t="s">
        <v>3</v>
      </c>
      <c r="V2" s="527" t="s">
        <v>4</v>
      </c>
      <c r="W2" s="527" t="s">
        <v>5</v>
      </c>
      <c r="X2" s="527" t="s">
        <v>6</v>
      </c>
      <c r="Y2" s="544" t="s">
        <v>7</v>
      </c>
      <c r="Z2" s="527" t="s">
        <v>8</v>
      </c>
      <c r="AA2" s="528" t="s">
        <v>1768</v>
      </c>
      <c r="AB2" s="527" t="s">
        <v>9</v>
      </c>
      <c r="AC2" s="527" t="s">
        <v>10</v>
      </c>
      <c r="AD2" s="527" t="s">
        <v>11</v>
      </c>
      <c r="AE2" s="527" t="s">
        <v>12</v>
      </c>
      <c r="AF2" s="527" t="s">
        <v>13</v>
      </c>
      <c r="AG2" s="527" t="s">
        <v>1769</v>
      </c>
      <c r="AH2" s="527" t="s">
        <v>14</v>
      </c>
      <c r="AI2" s="528" t="s">
        <v>15</v>
      </c>
      <c r="AJ2" s="527" t="s">
        <v>16</v>
      </c>
      <c r="AK2" s="528" t="s">
        <v>17</v>
      </c>
      <c r="AL2" s="527" t="s">
        <v>18</v>
      </c>
      <c r="AM2" s="528" t="s">
        <v>19</v>
      </c>
      <c r="AN2" s="527" t="s">
        <v>20</v>
      </c>
      <c r="AO2" s="527" t="s">
        <v>21</v>
      </c>
      <c r="AP2" s="527" t="s">
        <v>22</v>
      </c>
      <c r="AQ2" s="527" t="s">
        <v>23</v>
      </c>
      <c r="AR2" s="527" t="s">
        <v>24</v>
      </c>
      <c r="AS2" s="527" t="s">
        <v>1770</v>
      </c>
      <c r="AT2" s="545" t="s">
        <v>1771</v>
      </c>
      <c r="AU2" s="528" t="s">
        <v>25</v>
      </c>
      <c r="AV2" s="527" t="s">
        <v>26</v>
      </c>
      <c r="AW2" s="544" t="s">
        <v>1772</v>
      </c>
      <c r="AX2" s="527" t="s">
        <v>1778</v>
      </c>
    </row>
    <row r="3" spans="1:50" ht="18" customHeight="1" x14ac:dyDescent="0.25">
      <c r="A3" s="349" t="s">
        <v>27</v>
      </c>
      <c r="B3" s="99" t="s">
        <v>28</v>
      </c>
      <c r="C3" s="99" t="s">
        <v>29</v>
      </c>
      <c r="D3" s="99" t="s">
        <v>30</v>
      </c>
      <c r="E3" s="350">
        <v>40085</v>
      </c>
      <c r="F3" s="99" t="s">
        <v>37</v>
      </c>
      <c r="G3" s="590" t="s">
        <v>29</v>
      </c>
      <c r="H3" s="99">
        <v>0</v>
      </c>
      <c r="I3" s="99"/>
      <c r="J3" s="99"/>
      <c r="K3" s="99" t="s">
        <v>1429</v>
      </c>
      <c r="L3" s="99">
        <v>0</v>
      </c>
      <c r="M3" s="99" t="s">
        <v>1430</v>
      </c>
      <c r="N3" s="99" t="s">
        <v>1431</v>
      </c>
      <c r="O3" s="99" t="s">
        <v>1432</v>
      </c>
      <c r="P3" s="99" t="s">
        <v>1429</v>
      </c>
      <c r="Q3" s="99" t="s">
        <v>1429</v>
      </c>
      <c r="R3" s="99" t="s">
        <v>1433</v>
      </c>
      <c r="S3" s="99" t="s">
        <v>1434</v>
      </c>
      <c r="T3" s="350">
        <v>43736</v>
      </c>
      <c r="U3" s="99"/>
      <c r="V3" s="99" t="s">
        <v>31</v>
      </c>
      <c r="W3" s="99" t="s">
        <v>32</v>
      </c>
      <c r="X3" s="99" t="s">
        <v>37</v>
      </c>
      <c r="Y3" s="99">
        <v>310</v>
      </c>
      <c r="Z3" s="99">
        <v>0</v>
      </c>
      <c r="AA3" s="99">
        <v>580</v>
      </c>
      <c r="AB3" s="99">
        <v>0</v>
      </c>
      <c r="AC3" s="99">
        <v>0</v>
      </c>
      <c r="AD3" s="99">
        <v>0</v>
      </c>
      <c r="AE3" s="99">
        <v>0</v>
      </c>
      <c r="AF3" s="99">
        <v>0</v>
      </c>
      <c r="AG3" s="99">
        <v>1787</v>
      </c>
      <c r="AH3" s="99">
        <v>1</v>
      </c>
      <c r="AI3" s="99">
        <v>24</v>
      </c>
      <c r="AJ3" s="99">
        <v>0</v>
      </c>
      <c r="AK3" s="99">
        <v>0</v>
      </c>
      <c r="AL3" s="99">
        <v>0</v>
      </c>
      <c r="AM3" s="99">
        <v>0</v>
      </c>
      <c r="AN3" s="99">
        <v>0</v>
      </c>
      <c r="AO3" s="99">
        <v>0</v>
      </c>
      <c r="AP3" s="99">
        <v>0</v>
      </c>
      <c r="AQ3" s="99"/>
      <c r="AR3" s="99">
        <v>1763</v>
      </c>
      <c r="AS3" s="99">
        <v>1787</v>
      </c>
      <c r="AT3" s="99">
        <v>-1477</v>
      </c>
      <c r="AU3" s="99" t="s">
        <v>1345</v>
      </c>
      <c r="AV3" s="99">
        <v>6.2</v>
      </c>
      <c r="AW3" s="99" t="s">
        <v>672</v>
      </c>
      <c r="AX3" s="99" t="s">
        <v>1041</v>
      </c>
    </row>
    <row r="4" spans="1:50" ht="18" customHeight="1" x14ac:dyDescent="0.25">
      <c r="A4" s="349" t="s">
        <v>33</v>
      </c>
      <c r="B4" s="99" t="s">
        <v>34</v>
      </c>
      <c r="C4" s="99" t="s">
        <v>35</v>
      </c>
      <c r="D4" s="99" t="s">
        <v>35</v>
      </c>
      <c r="E4" s="350">
        <v>40179</v>
      </c>
      <c r="F4" s="99" t="s">
        <v>37</v>
      </c>
      <c r="G4" s="590" t="s">
        <v>55</v>
      </c>
      <c r="H4" s="99">
        <v>240</v>
      </c>
      <c r="I4" s="351">
        <v>0.375</v>
      </c>
      <c r="J4" s="351">
        <v>0.70833333333333337</v>
      </c>
      <c r="K4" s="99" t="s">
        <v>1429</v>
      </c>
      <c r="L4" s="99" t="s">
        <v>1435</v>
      </c>
      <c r="M4" s="352">
        <v>43170</v>
      </c>
      <c r="N4" s="99" t="s">
        <v>1436</v>
      </c>
      <c r="O4" s="99" t="s">
        <v>1432</v>
      </c>
      <c r="P4" s="99" t="s">
        <v>37</v>
      </c>
      <c r="Q4" s="99" t="s">
        <v>1429</v>
      </c>
      <c r="R4" s="99" t="s">
        <v>1437</v>
      </c>
      <c r="S4" s="99" t="s">
        <v>1438</v>
      </c>
      <c r="T4" s="99"/>
      <c r="U4" s="99" t="s">
        <v>36</v>
      </c>
      <c r="V4" s="99" t="s">
        <v>31</v>
      </c>
      <c r="W4" s="99" t="s">
        <v>32</v>
      </c>
      <c r="X4" s="99" t="s">
        <v>37</v>
      </c>
      <c r="Y4" s="99">
        <v>8539</v>
      </c>
      <c r="Z4" s="99">
        <v>3</v>
      </c>
      <c r="AA4" s="99">
        <v>580</v>
      </c>
      <c r="AB4" s="99">
        <v>0</v>
      </c>
      <c r="AC4" s="99">
        <v>0</v>
      </c>
      <c r="AD4" s="99">
        <v>0</v>
      </c>
      <c r="AE4" s="99">
        <v>0</v>
      </c>
      <c r="AF4" s="99">
        <v>400</v>
      </c>
      <c r="AG4" s="99">
        <v>2003</v>
      </c>
      <c r="AH4" s="99">
        <v>10</v>
      </c>
      <c r="AI4" s="99">
        <v>24</v>
      </c>
      <c r="AJ4" s="99">
        <v>0</v>
      </c>
      <c r="AK4" s="99">
        <v>0</v>
      </c>
      <c r="AL4" s="99">
        <v>0</v>
      </c>
      <c r="AM4" s="99">
        <v>0</v>
      </c>
      <c r="AN4" s="99">
        <v>0</v>
      </c>
      <c r="AO4" s="99">
        <v>0</v>
      </c>
      <c r="AP4" s="99">
        <v>0</v>
      </c>
      <c r="AQ4" s="99"/>
      <c r="AR4" s="99">
        <v>1763</v>
      </c>
      <c r="AS4" s="99">
        <v>4143</v>
      </c>
      <c r="AT4" s="99">
        <v>4396</v>
      </c>
      <c r="AU4" s="99" t="s">
        <v>1345</v>
      </c>
      <c r="AV4" s="99">
        <v>170.78</v>
      </c>
      <c r="AW4" s="99" t="s">
        <v>527</v>
      </c>
      <c r="AX4" s="99" t="s">
        <v>1041</v>
      </c>
    </row>
    <row r="5" spans="1:50" ht="18" customHeight="1" x14ac:dyDescent="0.25">
      <c r="A5" s="349" t="s">
        <v>1176</v>
      </c>
      <c r="B5" s="99" t="s">
        <v>1177</v>
      </c>
      <c r="C5" s="99" t="s">
        <v>56</v>
      </c>
      <c r="D5" s="99" t="s">
        <v>56</v>
      </c>
      <c r="E5" s="350">
        <v>42887</v>
      </c>
      <c r="F5" s="99" t="s">
        <v>37</v>
      </c>
      <c r="G5" s="590" t="s">
        <v>66</v>
      </c>
      <c r="H5" s="99">
        <v>240</v>
      </c>
      <c r="I5" s="351">
        <v>0.375</v>
      </c>
      <c r="J5" s="351">
        <v>0.70833333333333337</v>
      </c>
      <c r="K5" s="99" t="s">
        <v>1429</v>
      </c>
      <c r="L5" s="99" t="s">
        <v>1435</v>
      </c>
      <c r="M5" s="99" t="s">
        <v>1430</v>
      </c>
      <c r="N5" s="99" t="s">
        <v>1779</v>
      </c>
      <c r="O5" s="99" t="s">
        <v>1780</v>
      </c>
      <c r="P5" s="99" t="s">
        <v>37</v>
      </c>
      <c r="Q5" s="99" t="s">
        <v>1429</v>
      </c>
      <c r="R5" s="99" t="s">
        <v>1781</v>
      </c>
      <c r="S5" s="99" t="s">
        <v>1453</v>
      </c>
      <c r="T5" s="99"/>
      <c r="U5" s="99"/>
      <c r="V5" s="99" t="s">
        <v>46</v>
      </c>
      <c r="W5" s="99" t="s">
        <v>32</v>
      </c>
      <c r="X5" s="99" t="s">
        <v>37</v>
      </c>
      <c r="Y5" s="99">
        <v>6000</v>
      </c>
      <c r="Z5" s="99">
        <v>1</v>
      </c>
      <c r="AA5" s="99">
        <v>580</v>
      </c>
      <c r="AB5" s="99">
        <v>0</v>
      </c>
      <c r="AC5" s="99">
        <v>1480</v>
      </c>
      <c r="AD5" s="99">
        <v>0</v>
      </c>
      <c r="AE5" s="99">
        <v>0</v>
      </c>
      <c r="AF5" s="99">
        <v>0</v>
      </c>
      <c r="AG5" s="99">
        <v>2003</v>
      </c>
      <c r="AH5" s="99">
        <v>10</v>
      </c>
      <c r="AI5" s="99">
        <v>24</v>
      </c>
      <c r="AJ5" s="99">
        <v>0</v>
      </c>
      <c r="AK5" s="99">
        <v>0</v>
      </c>
      <c r="AL5" s="99">
        <v>0</v>
      </c>
      <c r="AM5" s="99">
        <v>0</v>
      </c>
      <c r="AN5" s="99">
        <v>0</v>
      </c>
      <c r="AO5" s="99">
        <v>0</v>
      </c>
      <c r="AP5" s="99">
        <v>0</v>
      </c>
      <c r="AQ5" s="99" t="s">
        <v>47</v>
      </c>
      <c r="AR5" s="99">
        <v>1763</v>
      </c>
      <c r="AS5" s="99">
        <v>4063</v>
      </c>
      <c r="AT5" s="99">
        <v>1937</v>
      </c>
      <c r="AU5" s="99" t="s">
        <v>1345</v>
      </c>
      <c r="AV5" s="99">
        <v>120</v>
      </c>
      <c r="AW5" s="99" t="s">
        <v>527</v>
      </c>
      <c r="AX5" s="99" t="s">
        <v>1852</v>
      </c>
    </row>
    <row r="6" spans="1:50" ht="18" customHeight="1" x14ac:dyDescent="0.25">
      <c r="A6" s="349" t="s">
        <v>42</v>
      </c>
      <c r="B6" s="99" t="s">
        <v>43</v>
      </c>
      <c r="C6" s="99" t="s">
        <v>44</v>
      </c>
      <c r="D6" s="99" t="s">
        <v>45</v>
      </c>
      <c r="E6" s="350">
        <v>41582</v>
      </c>
      <c r="F6" s="99" t="s">
        <v>1429</v>
      </c>
      <c r="G6" s="590" t="s">
        <v>44</v>
      </c>
      <c r="H6" s="99">
        <v>2</v>
      </c>
      <c r="I6" s="351">
        <v>0.375</v>
      </c>
      <c r="J6" s="351">
        <v>0.70833333333333337</v>
      </c>
      <c r="K6" s="99" t="s">
        <v>1429</v>
      </c>
      <c r="L6" s="99" t="s">
        <v>1435</v>
      </c>
      <c r="M6" s="99" t="s">
        <v>1439</v>
      </c>
      <c r="N6" s="99" t="s">
        <v>1440</v>
      </c>
      <c r="O6" s="99" t="s">
        <v>1432</v>
      </c>
      <c r="P6" s="99" t="s">
        <v>37</v>
      </c>
      <c r="Q6" s="99" t="s">
        <v>1429</v>
      </c>
      <c r="R6" s="99" t="s">
        <v>1441</v>
      </c>
      <c r="S6" s="99" t="s">
        <v>1434</v>
      </c>
      <c r="T6" s="99"/>
      <c r="U6" s="99"/>
      <c r="V6" s="99" t="s">
        <v>46</v>
      </c>
      <c r="W6" s="99" t="s">
        <v>32</v>
      </c>
      <c r="X6" s="99" t="s">
        <v>37</v>
      </c>
      <c r="Y6" s="99">
        <v>3000</v>
      </c>
      <c r="Z6" s="99">
        <v>1</v>
      </c>
      <c r="AA6" s="99">
        <v>580</v>
      </c>
      <c r="AB6" s="99">
        <v>0</v>
      </c>
      <c r="AC6" s="99">
        <v>1480</v>
      </c>
      <c r="AD6" s="99">
        <v>0</v>
      </c>
      <c r="AE6" s="99">
        <v>0</v>
      </c>
      <c r="AF6" s="99">
        <v>0</v>
      </c>
      <c r="AG6" s="99">
        <v>2363</v>
      </c>
      <c r="AH6" s="99">
        <v>25</v>
      </c>
      <c r="AI6" s="99">
        <v>24</v>
      </c>
      <c r="AJ6" s="99">
        <v>0</v>
      </c>
      <c r="AK6" s="99">
        <v>0</v>
      </c>
      <c r="AL6" s="99">
        <v>0</v>
      </c>
      <c r="AM6" s="99">
        <v>0</v>
      </c>
      <c r="AN6" s="99">
        <v>0</v>
      </c>
      <c r="AO6" s="99">
        <v>0</v>
      </c>
      <c r="AP6" s="99">
        <v>0</v>
      </c>
      <c r="AQ6" s="99" t="s">
        <v>47</v>
      </c>
      <c r="AR6" s="99">
        <v>1763</v>
      </c>
      <c r="AS6" s="99">
        <v>4423</v>
      </c>
      <c r="AT6" s="99">
        <v>-1423</v>
      </c>
      <c r="AU6" s="99" t="s">
        <v>1345</v>
      </c>
      <c r="AV6" s="99">
        <v>60</v>
      </c>
      <c r="AW6" s="99" t="s">
        <v>530</v>
      </c>
      <c r="AX6" s="99" t="s">
        <v>1853</v>
      </c>
    </row>
    <row r="7" spans="1:50" ht="18" customHeight="1" x14ac:dyDescent="0.25">
      <c r="A7" s="349" t="s">
        <v>48</v>
      </c>
      <c r="B7" s="99" t="s">
        <v>49</v>
      </c>
      <c r="C7" s="99" t="s">
        <v>44</v>
      </c>
      <c r="D7" s="99" t="s">
        <v>35</v>
      </c>
      <c r="E7" s="350">
        <v>41655</v>
      </c>
      <c r="F7" s="99" t="s">
        <v>1429</v>
      </c>
      <c r="G7" s="590" t="s">
        <v>44</v>
      </c>
      <c r="H7" s="99">
        <v>0</v>
      </c>
      <c r="I7" s="99"/>
      <c r="J7" s="99"/>
      <c r="K7" s="99" t="s">
        <v>1429</v>
      </c>
      <c r="L7" s="99">
        <v>0</v>
      </c>
      <c r="M7" s="99">
        <v>0</v>
      </c>
      <c r="N7" s="99"/>
      <c r="O7" s="99"/>
      <c r="P7" s="99" t="s">
        <v>37</v>
      </c>
      <c r="Q7" s="99" t="s">
        <v>1429</v>
      </c>
      <c r="R7" s="99"/>
      <c r="S7" s="99"/>
      <c r="T7" s="99"/>
      <c r="U7" s="99"/>
      <c r="V7" s="99" t="s">
        <v>46</v>
      </c>
      <c r="W7" s="99" t="s">
        <v>32</v>
      </c>
      <c r="X7" s="99" t="s">
        <v>37</v>
      </c>
      <c r="Y7" s="99">
        <v>200</v>
      </c>
      <c r="Z7" s="99">
        <v>0</v>
      </c>
      <c r="AA7" s="99">
        <v>580</v>
      </c>
      <c r="AB7" s="99">
        <v>0</v>
      </c>
      <c r="AC7" s="99">
        <v>800</v>
      </c>
      <c r="AD7" s="99">
        <v>0</v>
      </c>
      <c r="AE7" s="99">
        <v>0</v>
      </c>
      <c r="AF7" s="99">
        <v>0</v>
      </c>
      <c r="AG7" s="99">
        <v>920</v>
      </c>
      <c r="AH7" s="99">
        <v>5</v>
      </c>
      <c r="AI7" s="99">
        <v>24</v>
      </c>
      <c r="AJ7" s="99">
        <v>0</v>
      </c>
      <c r="AK7" s="99">
        <v>0</v>
      </c>
      <c r="AL7" s="99">
        <v>0</v>
      </c>
      <c r="AM7" s="99">
        <v>0</v>
      </c>
      <c r="AN7" s="99">
        <v>0</v>
      </c>
      <c r="AO7" s="99">
        <v>0</v>
      </c>
      <c r="AP7" s="99">
        <v>0</v>
      </c>
      <c r="AQ7" s="99" t="s">
        <v>47</v>
      </c>
      <c r="AR7" s="99">
        <v>800</v>
      </c>
      <c r="AS7" s="99">
        <v>1720</v>
      </c>
      <c r="AT7" s="99">
        <v>-1520</v>
      </c>
      <c r="AU7" s="99" t="s">
        <v>1345</v>
      </c>
      <c r="AV7" s="99">
        <v>4</v>
      </c>
      <c r="AW7" s="99" t="s">
        <v>673</v>
      </c>
      <c r="AX7" s="99"/>
    </row>
    <row r="8" spans="1:50" ht="18" customHeight="1" x14ac:dyDescent="0.25">
      <c r="A8" s="349" t="s">
        <v>50</v>
      </c>
      <c r="B8" s="99" t="s">
        <v>51</v>
      </c>
      <c r="C8" s="99" t="s">
        <v>35</v>
      </c>
      <c r="D8" s="99" t="s">
        <v>35</v>
      </c>
      <c r="E8" s="350">
        <v>40102</v>
      </c>
      <c r="F8" s="99" t="s">
        <v>37</v>
      </c>
      <c r="G8" s="590" t="s">
        <v>40</v>
      </c>
      <c r="H8" s="99">
        <v>120</v>
      </c>
      <c r="I8" s="351">
        <v>0.375</v>
      </c>
      <c r="J8" s="351">
        <v>0.70833333333333337</v>
      </c>
      <c r="K8" s="99" t="s">
        <v>1429</v>
      </c>
      <c r="L8" s="99" t="s">
        <v>1435</v>
      </c>
      <c r="M8" s="352">
        <v>43345</v>
      </c>
      <c r="N8" s="99" t="s">
        <v>1442</v>
      </c>
      <c r="O8" s="99" t="s">
        <v>1432</v>
      </c>
      <c r="P8" s="99" t="s">
        <v>1429</v>
      </c>
      <c r="Q8" s="99" t="s">
        <v>1429</v>
      </c>
      <c r="R8" s="99" t="s">
        <v>1443</v>
      </c>
      <c r="S8" s="99" t="s">
        <v>1444</v>
      </c>
      <c r="T8" s="99"/>
      <c r="U8" s="99"/>
      <c r="V8" s="99" t="s">
        <v>31</v>
      </c>
      <c r="W8" s="99" t="s">
        <v>32</v>
      </c>
      <c r="X8" s="99" t="s">
        <v>37</v>
      </c>
      <c r="Y8" s="99">
        <v>1068</v>
      </c>
      <c r="Z8" s="99"/>
      <c r="AA8" s="99">
        <v>580</v>
      </c>
      <c r="AB8" s="99">
        <v>0</v>
      </c>
      <c r="AC8" s="99">
        <v>0</v>
      </c>
      <c r="AD8" s="99">
        <v>0</v>
      </c>
      <c r="AE8" s="99">
        <v>0</v>
      </c>
      <c r="AF8" s="99">
        <v>0</v>
      </c>
      <c r="AG8" s="99">
        <v>2003</v>
      </c>
      <c r="AH8" s="99">
        <v>10</v>
      </c>
      <c r="AI8" s="99">
        <v>24</v>
      </c>
      <c r="AJ8" s="99">
        <v>0</v>
      </c>
      <c r="AK8" s="99">
        <v>0</v>
      </c>
      <c r="AL8" s="99">
        <v>0</v>
      </c>
      <c r="AM8" s="99">
        <v>0</v>
      </c>
      <c r="AN8" s="99">
        <v>0</v>
      </c>
      <c r="AO8" s="99">
        <v>0</v>
      </c>
      <c r="AP8" s="99">
        <v>0</v>
      </c>
      <c r="AQ8" s="99"/>
      <c r="AR8" s="99">
        <v>1763</v>
      </c>
      <c r="AS8" s="99">
        <v>2003</v>
      </c>
      <c r="AT8" s="99">
        <v>-935</v>
      </c>
      <c r="AU8" s="99" t="s">
        <v>1345</v>
      </c>
      <c r="AV8" s="99">
        <v>21.36</v>
      </c>
      <c r="AW8" s="99" t="s">
        <v>530</v>
      </c>
      <c r="AX8" s="99" t="s">
        <v>1044</v>
      </c>
    </row>
    <row r="9" spans="1:50" ht="18" customHeight="1" x14ac:dyDescent="0.25">
      <c r="A9" s="349" t="s">
        <v>53</v>
      </c>
      <c r="B9" s="99" t="s">
        <v>54</v>
      </c>
      <c r="C9" s="99" t="s">
        <v>38</v>
      </c>
      <c r="D9" s="99" t="s">
        <v>38</v>
      </c>
      <c r="E9" s="350">
        <v>41640</v>
      </c>
      <c r="F9" s="99" t="s">
        <v>37</v>
      </c>
      <c r="G9" s="590" t="s">
        <v>139</v>
      </c>
      <c r="H9" s="99">
        <v>240</v>
      </c>
      <c r="I9" s="351">
        <v>0.33333333333333331</v>
      </c>
      <c r="J9" s="351">
        <v>0.70833333333333337</v>
      </c>
      <c r="K9" s="99" t="s">
        <v>37</v>
      </c>
      <c r="L9" s="99" t="s">
        <v>1445</v>
      </c>
      <c r="M9" s="99">
        <v>22</v>
      </c>
      <c r="N9" s="99" t="s">
        <v>1446</v>
      </c>
      <c r="O9" s="99" t="s">
        <v>1432</v>
      </c>
      <c r="P9" s="99" t="s">
        <v>37</v>
      </c>
      <c r="Q9" s="99" t="s">
        <v>1429</v>
      </c>
      <c r="R9" s="99" t="s">
        <v>1782</v>
      </c>
      <c r="S9" s="99" t="s">
        <v>1438</v>
      </c>
      <c r="T9" s="99"/>
      <c r="U9" s="99"/>
      <c r="V9" s="99" t="s">
        <v>39</v>
      </c>
      <c r="W9" s="99" t="s">
        <v>32</v>
      </c>
      <c r="X9" s="99" t="s">
        <v>37</v>
      </c>
      <c r="Y9" s="99">
        <v>10000</v>
      </c>
      <c r="Z9" s="99">
        <v>2</v>
      </c>
      <c r="AA9" s="99">
        <v>580</v>
      </c>
      <c r="AB9" s="99">
        <v>0</v>
      </c>
      <c r="AC9" s="99">
        <v>0</v>
      </c>
      <c r="AD9" s="99">
        <v>0</v>
      </c>
      <c r="AE9" s="99">
        <v>0</v>
      </c>
      <c r="AF9" s="99">
        <v>0</v>
      </c>
      <c r="AG9" s="99">
        <v>2243</v>
      </c>
      <c r="AH9" s="99">
        <v>20</v>
      </c>
      <c r="AI9" s="99">
        <v>24</v>
      </c>
      <c r="AJ9" s="99">
        <v>0</v>
      </c>
      <c r="AK9" s="99">
        <v>0</v>
      </c>
      <c r="AL9" s="99">
        <v>0</v>
      </c>
      <c r="AM9" s="99">
        <v>0</v>
      </c>
      <c r="AN9" s="99">
        <v>0</v>
      </c>
      <c r="AO9" s="99">
        <v>0</v>
      </c>
      <c r="AP9" s="99">
        <v>0</v>
      </c>
      <c r="AQ9" s="99"/>
      <c r="AR9" s="99">
        <v>1763</v>
      </c>
      <c r="AS9" s="99">
        <v>3403</v>
      </c>
      <c r="AT9" s="99">
        <v>6597</v>
      </c>
      <c r="AU9" s="99" t="s">
        <v>1345</v>
      </c>
      <c r="AV9" s="99">
        <v>200</v>
      </c>
      <c r="AW9" s="99" t="s">
        <v>526</v>
      </c>
      <c r="AX9" s="99" t="s">
        <v>1783</v>
      </c>
    </row>
    <row r="10" spans="1:50" ht="18" customHeight="1" x14ac:dyDescent="0.25">
      <c r="A10" s="349" t="s">
        <v>60</v>
      </c>
      <c r="B10" s="99" t="s">
        <v>61</v>
      </c>
      <c r="C10" s="99" t="s">
        <v>56</v>
      </c>
      <c r="D10" s="99" t="s">
        <v>56</v>
      </c>
      <c r="E10" s="350">
        <v>41306</v>
      </c>
      <c r="F10" s="99" t="s">
        <v>37</v>
      </c>
      <c r="G10" s="590" t="s">
        <v>272</v>
      </c>
      <c r="H10" s="99">
        <v>240</v>
      </c>
      <c r="I10" s="351">
        <v>0.375</v>
      </c>
      <c r="J10" s="351">
        <v>0.70833333333333337</v>
      </c>
      <c r="K10" s="99" t="s">
        <v>1429</v>
      </c>
      <c r="L10" s="99" t="s">
        <v>1435</v>
      </c>
      <c r="M10" s="352">
        <v>43260</v>
      </c>
      <c r="N10" s="99" t="s">
        <v>1446</v>
      </c>
      <c r="O10" s="99" t="s">
        <v>1432</v>
      </c>
      <c r="P10" s="99" t="s">
        <v>37</v>
      </c>
      <c r="Q10" s="99" t="s">
        <v>1429</v>
      </c>
      <c r="R10" s="99" t="s">
        <v>1447</v>
      </c>
      <c r="S10" s="99" t="s">
        <v>1438</v>
      </c>
      <c r="T10" s="99"/>
      <c r="U10" s="99"/>
      <c r="V10" s="99" t="s">
        <v>46</v>
      </c>
      <c r="W10" s="99" t="s">
        <v>32</v>
      </c>
      <c r="X10" s="99" t="s">
        <v>37</v>
      </c>
      <c r="Y10" s="99">
        <v>5070</v>
      </c>
      <c r="Z10" s="99">
        <v>1</v>
      </c>
      <c r="AA10" s="99">
        <v>580</v>
      </c>
      <c r="AB10" s="99">
        <v>0</v>
      </c>
      <c r="AC10" s="99">
        <v>1480</v>
      </c>
      <c r="AD10" s="99">
        <v>0</v>
      </c>
      <c r="AE10" s="99">
        <v>0</v>
      </c>
      <c r="AF10" s="99">
        <v>0</v>
      </c>
      <c r="AG10" s="99">
        <v>2003</v>
      </c>
      <c r="AH10" s="99">
        <v>10</v>
      </c>
      <c r="AI10" s="99">
        <v>24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 t="s">
        <v>47</v>
      </c>
      <c r="AR10" s="99">
        <v>1763</v>
      </c>
      <c r="AS10" s="99">
        <v>4063</v>
      </c>
      <c r="AT10" s="99">
        <v>1007</v>
      </c>
      <c r="AU10" s="99" t="s">
        <v>1345</v>
      </c>
      <c r="AV10" s="99">
        <v>101.4</v>
      </c>
      <c r="AW10" s="99" t="s">
        <v>527</v>
      </c>
      <c r="AX10" s="99" t="s">
        <v>1858</v>
      </c>
    </row>
    <row r="11" spans="1:50" ht="18" customHeight="1" x14ac:dyDescent="0.25">
      <c r="A11" s="349" t="s">
        <v>62</v>
      </c>
      <c r="B11" s="99" t="s">
        <v>63</v>
      </c>
      <c r="C11" s="99" t="s">
        <v>35</v>
      </c>
      <c r="D11" s="99" t="s">
        <v>35</v>
      </c>
      <c r="E11" s="350">
        <v>40870</v>
      </c>
      <c r="F11" s="99" t="s">
        <v>37</v>
      </c>
      <c r="G11" s="590" t="s">
        <v>44</v>
      </c>
      <c r="H11" s="99">
        <v>120</v>
      </c>
      <c r="I11" s="351">
        <v>0.375</v>
      </c>
      <c r="J11" s="351">
        <v>0.70833333333333337</v>
      </c>
      <c r="K11" s="99" t="s">
        <v>1429</v>
      </c>
      <c r="L11" s="99" t="s">
        <v>1435</v>
      </c>
      <c r="M11" s="352">
        <v>43319</v>
      </c>
      <c r="N11" s="99" t="s">
        <v>1446</v>
      </c>
      <c r="O11" s="99" t="s">
        <v>1432</v>
      </c>
      <c r="P11" s="99" t="s">
        <v>37</v>
      </c>
      <c r="Q11" s="99" t="s">
        <v>1429</v>
      </c>
      <c r="R11" s="99" t="s">
        <v>1448</v>
      </c>
      <c r="S11" s="99" t="s">
        <v>1438</v>
      </c>
      <c r="T11" s="99"/>
      <c r="U11" s="99"/>
      <c r="V11" s="99" t="s">
        <v>46</v>
      </c>
      <c r="W11" s="99" t="s">
        <v>32</v>
      </c>
      <c r="X11" s="99" t="s">
        <v>37</v>
      </c>
      <c r="Y11" s="99">
        <v>5165</v>
      </c>
      <c r="Z11" s="99">
        <v>1</v>
      </c>
      <c r="AA11" s="99">
        <v>580</v>
      </c>
      <c r="AB11" s="99">
        <v>0</v>
      </c>
      <c r="AC11" s="99">
        <v>1480</v>
      </c>
      <c r="AD11" s="99">
        <v>0</v>
      </c>
      <c r="AE11" s="99">
        <v>0</v>
      </c>
      <c r="AF11" s="99">
        <v>0</v>
      </c>
      <c r="AG11" s="99">
        <v>2003</v>
      </c>
      <c r="AH11" s="99">
        <v>10</v>
      </c>
      <c r="AI11" s="99">
        <v>24</v>
      </c>
      <c r="AJ11" s="99">
        <v>0</v>
      </c>
      <c r="AK11" s="99">
        <v>0</v>
      </c>
      <c r="AL11" s="99">
        <v>0</v>
      </c>
      <c r="AM11" s="99">
        <v>0</v>
      </c>
      <c r="AN11" s="99">
        <v>0</v>
      </c>
      <c r="AO11" s="99">
        <v>0</v>
      </c>
      <c r="AP11" s="99">
        <v>0</v>
      </c>
      <c r="AQ11" s="99" t="s">
        <v>47</v>
      </c>
      <c r="AR11" s="99">
        <v>1763</v>
      </c>
      <c r="AS11" s="99">
        <v>4063</v>
      </c>
      <c r="AT11" s="99">
        <v>1102</v>
      </c>
      <c r="AU11" s="99" t="s">
        <v>1345</v>
      </c>
      <c r="AV11" s="99">
        <v>103.3</v>
      </c>
      <c r="AW11" s="99" t="s">
        <v>527</v>
      </c>
      <c r="AX11" s="99" t="s">
        <v>1861</v>
      </c>
    </row>
    <row r="12" spans="1:50" ht="18" customHeight="1" x14ac:dyDescent="0.25">
      <c r="A12" s="349" t="s">
        <v>64</v>
      </c>
      <c r="B12" s="99" t="s">
        <v>65</v>
      </c>
      <c r="C12" s="99" t="s">
        <v>66</v>
      </c>
      <c r="D12" s="99" t="s">
        <v>38</v>
      </c>
      <c r="E12" s="350">
        <v>42309</v>
      </c>
      <c r="F12" s="99" t="s">
        <v>1429</v>
      </c>
      <c r="G12" s="590" t="s">
        <v>44</v>
      </c>
      <c r="H12" s="99">
        <v>0</v>
      </c>
      <c r="I12" s="99"/>
      <c r="J12" s="99"/>
      <c r="K12" s="99" t="s">
        <v>37</v>
      </c>
      <c r="L12" s="99">
        <v>0</v>
      </c>
      <c r="M12" s="352">
        <v>43101</v>
      </c>
      <c r="N12" s="99"/>
      <c r="O12" s="99"/>
      <c r="P12" s="99" t="s">
        <v>1429</v>
      </c>
      <c r="Q12" s="99" t="s">
        <v>1429</v>
      </c>
      <c r="R12" s="99" t="s">
        <v>1449</v>
      </c>
      <c r="S12" s="99"/>
      <c r="T12" s="350">
        <v>44135</v>
      </c>
      <c r="U12" s="99"/>
      <c r="V12" s="99" t="s">
        <v>46</v>
      </c>
      <c r="W12" s="99" t="s">
        <v>32</v>
      </c>
      <c r="X12" s="99" t="s">
        <v>37</v>
      </c>
      <c r="Y12" s="99">
        <v>3800</v>
      </c>
      <c r="Z12" s="99"/>
      <c r="AA12" s="99">
        <v>580</v>
      </c>
      <c r="AB12" s="99">
        <v>0</v>
      </c>
      <c r="AC12" s="99">
        <v>1480</v>
      </c>
      <c r="AD12" s="99">
        <v>0</v>
      </c>
      <c r="AE12" s="99">
        <v>0</v>
      </c>
      <c r="AF12" s="99">
        <v>0</v>
      </c>
      <c r="AG12" s="99">
        <v>240</v>
      </c>
      <c r="AH12" s="99">
        <v>10</v>
      </c>
      <c r="AI12" s="99">
        <v>24</v>
      </c>
      <c r="AJ12" s="99">
        <v>0</v>
      </c>
      <c r="AK12" s="99">
        <v>0</v>
      </c>
      <c r="AL12" s="99">
        <v>0</v>
      </c>
      <c r="AM12" s="99">
        <v>0</v>
      </c>
      <c r="AN12" s="99">
        <v>0</v>
      </c>
      <c r="AO12" s="99">
        <v>0</v>
      </c>
      <c r="AP12" s="99">
        <v>0</v>
      </c>
      <c r="AQ12" s="99" t="s">
        <v>47</v>
      </c>
      <c r="AR12" s="99">
        <v>0</v>
      </c>
      <c r="AS12" s="99">
        <v>1720</v>
      </c>
      <c r="AT12" s="99">
        <v>2080</v>
      </c>
      <c r="AU12" s="99" t="s">
        <v>1345</v>
      </c>
      <c r="AV12" s="99">
        <v>76</v>
      </c>
      <c r="AW12" s="99" t="s">
        <v>674</v>
      </c>
      <c r="AX12" s="99" t="s">
        <v>1854</v>
      </c>
    </row>
    <row r="13" spans="1:50" ht="18" customHeight="1" x14ac:dyDescent="0.25">
      <c r="A13" s="349" t="s">
        <v>67</v>
      </c>
      <c r="B13" s="99" t="s">
        <v>68</v>
      </c>
      <c r="C13" s="99" t="s">
        <v>55</v>
      </c>
      <c r="D13" s="99" t="s">
        <v>56</v>
      </c>
      <c r="E13" s="350">
        <v>41628</v>
      </c>
      <c r="F13" s="99" t="s">
        <v>37</v>
      </c>
      <c r="G13" s="590" t="s">
        <v>55</v>
      </c>
      <c r="H13" s="99">
        <v>120</v>
      </c>
      <c r="I13" s="351">
        <v>0.375</v>
      </c>
      <c r="J13" s="351">
        <v>0.70833333333333337</v>
      </c>
      <c r="K13" s="99" t="s">
        <v>1429</v>
      </c>
      <c r="L13" s="99" t="s">
        <v>1435</v>
      </c>
      <c r="M13" s="352">
        <v>43160</v>
      </c>
      <c r="N13" s="99" t="s">
        <v>1450</v>
      </c>
      <c r="O13" s="99" t="s">
        <v>1451</v>
      </c>
      <c r="P13" s="99" t="s">
        <v>37</v>
      </c>
      <c r="Q13" s="99" t="s">
        <v>1429</v>
      </c>
      <c r="R13" s="99" t="s">
        <v>1784</v>
      </c>
      <c r="S13" s="99" t="s">
        <v>1444</v>
      </c>
      <c r="T13" s="99"/>
      <c r="U13" s="99"/>
      <c r="V13" s="99" t="s">
        <v>31</v>
      </c>
      <c r="W13" s="99" t="s">
        <v>32</v>
      </c>
      <c r="X13" s="99" t="s">
        <v>37</v>
      </c>
      <c r="Y13" s="99">
        <v>500</v>
      </c>
      <c r="Z13" s="99">
        <v>0</v>
      </c>
      <c r="AA13" s="99">
        <v>580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1811</v>
      </c>
      <c r="AH13" s="99">
        <v>2</v>
      </c>
      <c r="AI13" s="99">
        <v>24</v>
      </c>
      <c r="AJ13" s="99">
        <v>0</v>
      </c>
      <c r="AK13" s="99">
        <v>0</v>
      </c>
      <c r="AL13" s="99">
        <v>0</v>
      </c>
      <c r="AM13" s="99">
        <v>0</v>
      </c>
      <c r="AN13" s="99">
        <v>0</v>
      </c>
      <c r="AO13" s="99">
        <v>0</v>
      </c>
      <c r="AP13" s="99">
        <v>0</v>
      </c>
      <c r="AQ13" s="99"/>
      <c r="AR13" s="99">
        <v>1763</v>
      </c>
      <c r="AS13" s="99">
        <v>1811</v>
      </c>
      <c r="AT13" s="99">
        <v>-1311</v>
      </c>
      <c r="AU13" s="99" t="s">
        <v>1345</v>
      </c>
      <c r="AV13" s="99">
        <v>10</v>
      </c>
      <c r="AW13" s="99" t="s">
        <v>530</v>
      </c>
      <c r="AX13" s="99" t="s">
        <v>1060</v>
      </c>
    </row>
    <row r="14" spans="1:50" ht="18" customHeight="1" x14ac:dyDescent="0.25">
      <c r="A14" s="349" t="s">
        <v>69</v>
      </c>
      <c r="B14" s="99" t="s">
        <v>70</v>
      </c>
      <c r="C14" s="99" t="s">
        <v>44</v>
      </c>
      <c r="D14" s="99" t="s">
        <v>35</v>
      </c>
      <c r="E14" s="350">
        <v>41548</v>
      </c>
      <c r="F14" s="99" t="s">
        <v>1429</v>
      </c>
      <c r="G14" s="590" t="s">
        <v>44</v>
      </c>
      <c r="H14" s="99">
        <v>240</v>
      </c>
      <c r="I14" s="99"/>
      <c r="J14" s="99"/>
      <c r="K14" s="99" t="s">
        <v>1429</v>
      </c>
      <c r="L14" s="99" t="s">
        <v>1435</v>
      </c>
      <c r="M14" s="99">
        <v>0</v>
      </c>
      <c r="N14" s="99"/>
      <c r="O14" s="99" t="s">
        <v>1432</v>
      </c>
      <c r="P14" s="99" t="s">
        <v>37</v>
      </c>
      <c r="Q14" s="99" t="s">
        <v>1429</v>
      </c>
      <c r="R14" s="99" t="s">
        <v>1452</v>
      </c>
      <c r="S14" s="99" t="s">
        <v>1453</v>
      </c>
      <c r="T14" s="99"/>
      <c r="U14" s="99"/>
      <c r="V14" s="99" t="s">
        <v>46</v>
      </c>
      <c r="W14" s="99" t="s">
        <v>32</v>
      </c>
      <c r="X14" s="99" t="s">
        <v>37</v>
      </c>
      <c r="Y14" s="99">
        <v>200</v>
      </c>
      <c r="Z14" s="99"/>
      <c r="AA14" s="99">
        <v>580</v>
      </c>
      <c r="AB14" s="99">
        <v>0</v>
      </c>
      <c r="AC14" s="99">
        <v>800</v>
      </c>
      <c r="AD14" s="99">
        <v>0</v>
      </c>
      <c r="AE14" s="99">
        <v>0</v>
      </c>
      <c r="AF14" s="99">
        <v>0</v>
      </c>
      <c r="AG14" s="99">
        <v>1040</v>
      </c>
      <c r="AH14" s="99">
        <v>10</v>
      </c>
      <c r="AI14" s="99">
        <v>24</v>
      </c>
      <c r="AJ14" s="99">
        <v>0</v>
      </c>
      <c r="AK14" s="99">
        <v>0</v>
      </c>
      <c r="AL14" s="99">
        <v>0</v>
      </c>
      <c r="AM14" s="99">
        <v>0</v>
      </c>
      <c r="AN14" s="99">
        <v>0</v>
      </c>
      <c r="AO14" s="99">
        <v>0</v>
      </c>
      <c r="AP14" s="99">
        <v>0</v>
      </c>
      <c r="AQ14" s="99" t="s">
        <v>47</v>
      </c>
      <c r="AR14" s="99">
        <v>800</v>
      </c>
      <c r="AS14" s="99">
        <v>1840</v>
      </c>
      <c r="AT14" s="99">
        <v>-1640</v>
      </c>
      <c r="AU14" s="99" t="s">
        <v>1345</v>
      </c>
      <c r="AV14" s="99">
        <v>4</v>
      </c>
      <c r="AW14" s="99" t="s">
        <v>673</v>
      </c>
      <c r="AX14" s="99" t="s">
        <v>1785</v>
      </c>
    </row>
    <row r="15" spans="1:50" ht="18" customHeight="1" x14ac:dyDescent="0.25">
      <c r="A15" s="349" t="s">
        <v>73</v>
      </c>
      <c r="B15" s="99" t="s">
        <v>74</v>
      </c>
      <c r="C15" s="99" t="s">
        <v>30</v>
      </c>
      <c r="D15" s="99" t="s">
        <v>30</v>
      </c>
      <c r="E15" s="350">
        <v>41061</v>
      </c>
      <c r="F15" s="99" t="s">
        <v>37</v>
      </c>
      <c r="G15" s="590" t="s">
        <v>547</v>
      </c>
      <c r="H15" s="99">
        <v>240</v>
      </c>
      <c r="I15" s="351">
        <v>0.375</v>
      </c>
      <c r="J15" s="351">
        <v>0.70833333333333337</v>
      </c>
      <c r="K15" s="99" t="s">
        <v>37</v>
      </c>
      <c r="L15" s="99" t="s">
        <v>1435</v>
      </c>
      <c r="M15" s="352">
        <v>43332</v>
      </c>
      <c r="N15" s="99" t="s">
        <v>1446</v>
      </c>
      <c r="O15" s="99"/>
      <c r="P15" s="99" t="s">
        <v>37</v>
      </c>
      <c r="Q15" s="99" t="s">
        <v>1429</v>
      </c>
      <c r="R15" s="99" t="s">
        <v>1454</v>
      </c>
      <c r="S15" s="99" t="s">
        <v>1444</v>
      </c>
      <c r="T15" s="99"/>
      <c r="U15" s="99"/>
      <c r="V15" s="99" t="s">
        <v>46</v>
      </c>
      <c r="W15" s="99" t="s">
        <v>32</v>
      </c>
      <c r="X15" s="99" t="s">
        <v>37</v>
      </c>
      <c r="Y15" s="99">
        <v>4085</v>
      </c>
      <c r="Z15" s="99">
        <v>1</v>
      </c>
      <c r="AA15" s="99">
        <v>580</v>
      </c>
      <c r="AB15" s="99">
        <v>0</v>
      </c>
      <c r="AC15" s="99">
        <v>1480</v>
      </c>
      <c r="AD15" s="99">
        <v>0</v>
      </c>
      <c r="AE15" s="99">
        <v>0</v>
      </c>
      <c r="AF15" s="99">
        <v>0</v>
      </c>
      <c r="AG15" s="99">
        <v>2003</v>
      </c>
      <c r="AH15" s="99">
        <v>10</v>
      </c>
      <c r="AI15" s="99">
        <v>24</v>
      </c>
      <c r="AJ15" s="99">
        <v>0</v>
      </c>
      <c r="AK15" s="99">
        <v>0</v>
      </c>
      <c r="AL15" s="99">
        <v>0</v>
      </c>
      <c r="AM15" s="99">
        <v>0</v>
      </c>
      <c r="AN15" s="99">
        <v>0</v>
      </c>
      <c r="AO15" s="99">
        <v>0</v>
      </c>
      <c r="AP15" s="99">
        <v>0</v>
      </c>
      <c r="AQ15" s="99" t="s">
        <v>47</v>
      </c>
      <c r="AR15" s="99">
        <v>1763</v>
      </c>
      <c r="AS15" s="99">
        <v>4063</v>
      </c>
      <c r="AT15" s="99">
        <v>22</v>
      </c>
      <c r="AU15" s="99" t="s">
        <v>1345</v>
      </c>
      <c r="AV15" s="99">
        <v>81.7</v>
      </c>
      <c r="AW15" s="99" t="s">
        <v>528</v>
      </c>
      <c r="AX15" s="99" t="s">
        <v>1855</v>
      </c>
    </row>
    <row r="16" spans="1:50" ht="18" customHeight="1" x14ac:dyDescent="0.25">
      <c r="A16" s="349" t="s">
        <v>75</v>
      </c>
      <c r="B16" s="99" t="s">
        <v>76</v>
      </c>
      <c r="C16" s="99" t="s">
        <v>29</v>
      </c>
      <c r="D16" s="99" t="s">
        <v>30</v>
      </c>
      <c r="E16" s="350">
        <v>39965</v>
      </c>
      <c r="F16" s="99" t="s">
        <v>1429</v>
      </c>
      <c r="G16" s="590" t="s">
        <v>29</v>
      </c>
      <c r="H16" s="99">
        <v>0</v>
      </c>
      <c r="I16" s="351">
        <v>0.33333333333333331</v>
      </c>
      <c r="J16" s="351">
        <v>0.70833333333333337</v>
      </c>
      <c r="K16" s="99" t="s">
        <v>37</v>
      </c>
      <c r="L16" s="99">
        <v>0</v>
      </c>
      <c r="M16" s="99">
        <v>0</v>
      </c>
      <c r="N16" s="99"/>
      <c r="O16" s="99" t="s">
        <v>1432</v>
      </c>
      <c r="P16" s="99" t="s">
        <v>37</v>
      </c>
      <c r="Q16" s="99" t="s">
        <v>37</v>
      </c>
      <c r="R16" s="99" t="s">
        <v>1455</v>
      </c>
      <c r="S16" s="99" t="s">
        <v>1434</v>
      </c>
      <c r="T16" s="99"/>
      <c r="U16" s="99"/>
      <c r="V16" s="99" t="s">
        <v>31</v>
      </c>
      <c r="W16" s="99" t="s">
        <v>32</v>
      </c>
      <c r="X16" s="99" t="s">
        <v>37</v>
      </c>
      <c r="Y16" s="99">
        <v>0</v>
      </c>
      <c r="Z16" s="99">
        <v>0</v>
      </c>
      <c r="AA16" s="99">
        <v>580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24</v>
      </c>
      <c r="AJ16" s="99">
        <v>0</v>
      </c>
      <c r="AK16" s="99">
        <v>0</v>
      </c>
      <c r="AL16" s="99">
        <v>0</v>
      </c>
      <c r="AM16" s="99">
        <v>0</v>
      </c>
      <c r="AN16" s="99">
        <v>0</v>
      </c>
      <c r="AO16" s="99">
        <v>0</v>
      </c>
      <c r="AP16" s="99">
        <v>0</v>
      </c>
      <c r="AQ16" s="99"/>
      <c r="AR16" s="99">
        <v>0</v>
      </c>
      <c r="AS16" s="99">
        <v>0</v>
      </c>
      <c r="AT16" s="99">
        <v>0</v>
      </c>
      <c r="AU16" s="99" t="s">
        <v>1345</v>
      </c>
      <c r="AV16" s="99">
        <v>0</v>
      </c>
      <c r="AW16" s="99" t="s">
        <v>675</v>
      </c>
      <c r="AX16" s="99" t="s">
        <v>1786</v>
      </c>
    </row>
    <row r="17" spans="1:50" ht="18" customHeight="1" x14ac:dyDescent="0.25">
      <c r="A17" s="349" t="s">
        <v>77</v>
      </c>
      <c r="B17" s="99" t="s">
        <v>78</v>
      </c>
      <c r="C17" s="99" t="s">
        <v>35</v>
      </c>
      <c r="D17" s="99" t="s">
        <v>35</v>
      </c>
      <c r="E17" s="350">
        <v>41487</v>
      </c>
      <c r="F17" s="99" t="s">
        <v>37</v>
      </c>
      <c r="G17" s="590" t="s">
        <v>272</v>
      </c>
      <c r="H17" s="99">
        <v>240</v>
      </c>
      <c r="I17" s="351">
        <v>0.375</v>
      </c>
      <c r="J17" s="351">
        <v>0.70833333333333337</v>
      </c>
      <c r="K17" s="99" t="s">
        <v>1429</v>
      </c>
      <c r="L17" s="99" t="s">
        <v>1435</v>
      </c>
      <c r="M17" s="99" t="s">
        <v>1456</v>
      </c>
      <c r="N17" s="99" t="s">
        <v>1457</v>
      </c>
      <c r="O17" s="99" t="s">
        <v>1432</v>
      </c>
      <c r="P17" s="99" t="s">
        <v>37</v>
      </c>
      <c r="Q17" s="99" t="s">
        <v>1429</v>
      </c>
      <c r="R17" s="99" t="s">
        <v>1458</v>
      </c>
      <c r="S17" s="99" t="s">
        <v>1438</v>
      </c>
      <c r="T17" s="99"/>
      <c r="U17" s="99"/>
      <c r="V17" s="99" t="s">
        <v>46</v>
      </c>
      <c r="W17" s="99" t="s">
        <v>32</v>
      </c>
      <c r="X17" s="99" t="s">
        <v>37</v>
      </c>
      <c r="Y17" s="99">
        <v>5000</v>
      </c>
      <c r="Z17" s="99">
        <v>1</v>
      </c>
      <c r="AA17" s="99">
        <v>580</v>
      </c>
      <c r="AB17" s="99">
        <v>0</v>
      </c>
      <c r="AC17" s="99">
        <v>1480</v>
      </c>
      <c r="AD17" s="99">
        <v>0</v>
      </c>
      <c r="AE17" s="99">
        <v>0</v>
      </c>
      <c r="AF17" s="99">
        <v>0</v>
      </c>
      <c r="AG17" s="99">
        <v>2243</v>
      </c>
      <c r="AH17" s="99">
        <v>20</v>
      </c>
      <c r="AI17" s="99">
        <v>24</v>
      </c>
      <c r="AJ17" s="99">
        <v>0</v>
      </c>
      <c r="AK17" s="99">
        <v>0</v>
      </c>
      <c r="AL17" s="99">
        <v>0</v>
      </c>
      <c r="AM17" s="99">
        <v>0</v>
      </c>
      <c r="AN17" s="99">
        <v>0</v>
      </c>
      <c r="AO17" s="99">
        <v>0</v>
      </c>
      <c r="AP17" s="99">
        <v>0</v>
      </c>
      <c r="AQ17" s="99" t="s">
        <v>47</v>
      </c>
      <c r="AR17" s="99">
        <v>1763</v>
      </c>
      <c r="AS17" s="99">
        <v>4303</v>
      </c>
      <c r="AT17" s="99">
        <v>697</v>
      </c>
      <c r="AU17" s="99" t="s">
        <v>1345</v>
      </c>
      <c r="AV17" s="99">
        <v>100</v>
      </c>
      <c r="AW17" s="99" t="s">
        <v>527</v>
      </c>
      <c r="AX17" s="99" t="s">
        <v>1854</v>
      </c>
    </row>
    <row r="18" spans="1:50" ht="18" customHeight="1" x14ac:dyDescent="0.25">
      <c r="A18" s="349" t="s">
        <v>79</v>
      </c>
      <c r="B18" s="99" t="s">
        <v>80</v>
      </c>
      <c r="C18" s="99" t="s">
        <v>55</v>
      </c>
      <c r="D18" s="99" t="s">
        <v>56</v>
      </c>
      <c r="E18" s="350">
        <v>41456</v>
      </c>
      <c r="F18" s="99" t="s">
        <v>1429</v>
      </c>
      <c r="G18" s="590" t="s">
        <v>55</v>
      </c>
      <c r="H18" s="99">
        <v>0</v>
      </c>
      <c r="I18" s="351">
        <v>0.375</v>
      </c>
      <c r="J18" s="351">
        <v>0.70833333333333337</v>
      </c>
      <c r="K18" s="99" t="s">
        <v>1429</v>
      </c>
      <c r="L18" s="99" t="s">
        <v>1435</v>
      </c>
      <c r="M18" s="352">
        <v>43101</v>
      </c>
      <c r="N18" s="99" t="s">
        <v>1450</v>
      </c>
      <c r="O18" s="99" t="s">
        <v>1432</v>
      </c>
      <c r="P18" s="99" t="s">
        <v>37</v>
      </c>
      <c r="Q18" s="99" t="s">
        <v>1429</v>
      </c>
      <c r="R18" s="99" t="s">
        <v>1459</v>
      </c>
      <c r="S18" s="99"/>
      <c r="T18" s="99"/>
      <c r="U18" s="99"/>
      <c r="V18" s="99" t="s">
        <v>31</v>
      </c>
      <c r="W18" s="99" t="s">
        <v>32</v>
      </c>
      <c r="X18" s="99" t="s">
        <v>37</v>
      </c>
      <c r="Y18" s="99">
        <v>812.6</v>
      </c>
      <c r="Z18" s="99">
        <v>0</v>
      </c>
      <c r="AA18" s="99">
        <v>580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1883</v>
      </c>
      <c r="AH18" s="99">
        <v>5</v>
      </c>
      <c r="AI18" s="99">
        <v>24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/>
      <c r="AR18" s="99">
        <v>1763</v>
      </c>
      <c r="AS18" s="99">
        <v>1883</v>
      </c>
      <c r="AT18" s="99">
        <v>-1070.4000000000001</v>
      </c>
      <c r="AU18" s="99" t="s">
        <v>1345</v>
      </c>
      <c r="AV18" s="99">
        <v>16.25</v>
      </c>
      <c r="AW18" s="99" t="s">
        <v>530</v>
      </c>
      <c r="AX18" s="99" t="s">
        <v>1040</v>
      </c>
    </row>
    <row r="19" spans="1:50" ht="18" customHeight="1" x14ac:dyDescent="0.25">
      <c r="A19" s="349" t="s">
        <v>81</v>
      </c>
      <c r="B19" s="99" t="s">
        <v>82</v>
      </c>
      <c r="C19" s="99" t="s">
        <v>44</v>
      </c>
      <c r="D19" s="99" t="s">
        <v>45</v>
      </c>
      <c r="E19" s="350">
        <v>42064</v>
      </c>
      <c r="F19" s="99" t="s">
        <v>1429</v>
      </c>
      <c r="G19" s="590" t="s">
        <v>44</v>
      </c>
      <c r="H19" s="99">
        <v>0</v>
      </c>
      <c r="I19" s="351">
        <v>0.375</v>
      </c>
      <c r="J19" s="351">
        <v>0.70833333333333337</v>
      </c>
      <c r="K19" s="99" t="s">
        <v>1429</v>
      </c>
      <c r="L19" s="99">
        <v>0</v>
      </c>
      <c r="M19" s="352">
        <v>43226</v>
      </c>
      <c r="N19" s="99"/>
      <c r="O19" s="99" t="s">
        <v>1432</v>
      </c>
      <c r="P19" s="99" t="s">
        <v>37</v>
      </c>
      <c r="Q19" s="99" t="s">
        <v>1429</v>
      </c>
      <c r="R19" s="99" t="s">
        <v>1460</v>
      </c>
      <c r="S19" s="99"/>
      <c r="T19" s="350">
        <v>44074</v>
      </c>
      <c r="U19" s="99"/>
      <c r="V19" s="99" t="s">
        <v>46</v>
      </c>
      <c r="W19" s="99" t="s">
        <v>32</v>
      </c>
      <c r="X19" s="99" t="s">
        <v>37</v>
      </c>
      <c r="Y19" s="99">
        <v>39990</v>
      </c>
      <c r="Z19" s="99">
        <v>0</v>
      </c>
      <c r="AA19" s="99">
        <v>580</v>
      </c>
      <c r="AB19" s="99">
        <v>0</v>
      </c>
      <c r="AC19" s="99">
        <v>1480</v>
      </c>
      <c r="AD19" s="99">
        <v>0</v>
      </c>
      <c r="AE19" s="99">
        <v>0</v>
      </c>
      <c r="AF19" s="99">
        <v>0</v>
      </c>
      <c r="AG19" s="99">
        <v>2003</v>
      </c>
      <c r="AH19" s="99">
        <v>10</v>
      </c>
      <c r="AI19" s="99">
        <v>24</v>
      </c>
      <c r="AJ19" s="99">
        <v>0</v>
      </c>
      <c r="AK19" s="99">
        <v>0</v>
      </c>
      <c r="AL19" s="99">
        <v>0</v>
      </c>
      <c r="AM19" s="99">
        <v>0</v>
      </c>
      <c r="AN19" s="99">
        <v>0</v>
      </c>
      <c r="AO19" s="99">
        <v>0</v>
      </c>
      <c r="AP19" s="99">
        <v>0</v>
      </c>
      <c r="AQ19" s="99" t="s">
        <v>47</v>
      </c>
      <c r="AR19" s="99">
        <v>1763</v>
      </c>
      <c r="AS19" s="99">
        <v>3483</v>
      </c>
      <c r="AT19" s="99">
        <v>36507</v>
      </c>
      <c r="AU19" s="99" t="s">
        <v>1345</v>
      </c>
      <c r="AV19" s="99">
        <v>799.8</v>
      </c>
      <c r="AW19" s="99" t="s">
        <v>526</v>
      </c>
      <c r="AX19" s="99" t="s">
        <v>1866</v>
      </c>
    </row>
    <row r="20" spans="1:50" ht="18" customHeight="1" x14ac:dyDescent="0.25">
      <c r="A20" s="349" t="s">
        <v>83</v>
      </c>
      <c r="B20" s="99" t="s">
        <v>84</v>
      </c>
      <c r="C20" s="99" t="s">
        <v>29</v>
      </c>
      <c r="D20" s="99" t="s">
        <v>45</v>
      </c>
      <c r="E20" s="350">
        <v>40179</v>
      </c>
      <c r="F20" s="99" t="s">
        <v>37</v>
      </c>
      <c r="G20" s="590" t="s">
        <v>29</v>
      </c>
      <c r="H20" s="99">
        <v>360</v>
      </c>
      <c r="I20" s="351">
        <v>0.375</v>
      </c>
      <c r="J20" s="351">
        <v>0.70833333333333337</v>
      </c>
      <c r="K20" s="99" t="s">
        <v>1429</v>
      </c>
      <c r="L20" s="99" t="s">
        <v>1435</v>
      </c>
      <c r="M20" s="352">
        <v>43344</v>
      </c>
      <c r="N20" s="99" t="s">
        <v>1461</v>
      </c>
      <c r="O20" s="99" t="s">
        <v>1432</v>
      </c>
      <c r="P20" s="99" t="s">
        <v>37</v>
      </c>
      <c r="Q20" s="99" t="s">
        <v>1429</v>
      </c>
      <c r="R20" s="99" t="s">
        <v>1462</v>
      </c>
      <c r="S20" s="99" t="s">
        <v>1453</v>
      </c>
      <c r="T20" s="99"/>
      <c r="U20" s="99" t="s">
        <v>36</v>
      </c>
      <c r="V20" s="99" t="s">
        <v>31</v>
      </c>
      <c r="W20" s="99" t="s">
        <v>32</v>
      </c>
      <c r="X20" s="99" t="s">
        <v>37</v>
      </c>
      <c r="Y20" s="99">
        <v>9850</v>
      </c>
      <c r="Z20" s="99">
        <v>10</v>
      </c>
      <c r="AA20" s="99">
        <v>580</v>
      </c>
      <c r="AB20" s="99">
        <v>0</v>
      </c>
      <c r="AC20" s="99">
        <v>0</v>
      </c>
      <c r="AD20" s="99">
        <v>0</v>
      </c>
      <c r="AE20" s="99">
        <v>0</v>
      </c>
      <c r="AF20" s="99">
        <v>200</v>
      </c>
      <c r="AG20" s="99">
        <v>2003</v>
      </c>
      <c r="AH20" s="99">
        <v>10</v>
      </c>
      <c r="AI20" s="99">
        <v>24</v>
      </c>
      <c r="AJ20" s="99">
        <v>0</v>
      </c>
      <c r="AK20" s="99">
        <v>0</v>
      </c>
      <c r="AL20" s="99">
        <v>0</v>
      </c>
      <c r="AM20" s="99">
        <v>0</v>
      </c>
      <c r="AN20" s="99">
        <v>0</v>
      </c>
      <c r="AO20" s="99">
        <v>0</v>
      </c>
      <c r="AP20" s="99">
        <v>0</v>
      </c>
      <c r="AQ20" s="99"/>
      <c r="AR20" s="99">
        <v>1763</v>
      </c>
      <c r="AS20" s="99">
        <v>8003</v>
      </c>
      <c r="AT20" s="99">
        <v>1847</v>
      </c>
      <c r="AU20" s="99" t="s">
        <v>1345</v>
      </c>
      <c r="AV20" s="99">
        <v>197</v>
      </c>
      <c r="AW20" s="99" t="s">
        <v>527</v>
      </c>
      <c r="AX20" s="99" t="s">
        <v>1057</v>
      </c>
    </row>
    <row r="21" spans="1:50" ht="18" customHeight="1" x14ac:dyDescent="0.25">
      <c r="A21" s="349" t="s">
        <v>601</v>
      </c>
      <c r="B21" s="99" t="s">
        <v>602</v>
      </c>
      <c r="C21" s="99" t="s">
        <v>35</v>
      </c>
      <c r="D21" s="99" t="s">
        <v>35</v>
      </c>
      <c r="E21" s="350">
        <v>42583</v>
      </c>
      <c r="F21" s="99" t="s">
        <v>37</v>
      </c>
      <c r="G21" s="590" t="s">
        <v>545</v>
      </c>
      <c r="H21" s="99">
        <v>240</v>
      </c>
      <c r="I21" s="351">
        <v>0.375</v>
      </c>
      <c r="J21" s="351">
        <v>0.70833333333333337</v>
      </c>
      <c r="K21" s="99" t="s">
        <v>1429</v>
      </c>
      <c r="L21" s="99" t="s">
        <v>1435</v>
      </c>
      <c r="M21" s="352">
        <v>43336</v>
      </c>
      <c r="N21" s="99" t="s">
        <v>1463</v>
      </c>
      <c r="O21" s="99" t="s">
        <v>1432</v>
      </c>
      <c r="P21" s="99" t="s">
        <v>37</v>
      </c>
      <c r="Q21" s="99" t="s">
        <v>1429</v>
      </c>
      <c r="R21" s="99" t="s">
        <v>1464</v>
      </c>
      <c r="S21" s="99" t="s">
        <v>1465</v>
      </c>
      <c r="T21" s="99"/>
      <c r="U21" s="99"/>
      <c r="V21" s="99" t="s">
        <v>46</v>
      </c>
      <c r="W21" s="99" t="s">
        <v>32</v>
      </c>
      <c r="X21" s="99" t="s">
        <v>37</v>
      </c>
      <c r="Y21" s="99">
        <v>10000</v>
      </c>
      <c r="Z21" s="99">
        <v>2</v>
      </c>
      <c r="AA21" s="99">
        <v>580</v>
      </c>
      <c r="AB21" s="99">
        <v>0</v>
      </c>
      <c r="AC21" s="99">
        <v>1480</v>
      </c>
      <c r="AD21" s="99">
        <v>0</v>
      </c>
      <c r="AE21" s="99">
        <v>0</v>
      </c>
      <c r="AF21" s="99">
        <v>0</v>
      </c>
      <c r="AG21" s="99">
        <v>2243</v>
      </c>
      <c r="AH21" s="99">
        <v>20</v>
      </c>
      <c r="AI21" s="99">
        <v>24</v>
      </c>
      <c r="AJ21" s="99">
        <v>0</v>
      </c>
      <c r="AK21" s="99">
        <v>0</v>
      </c>
      <c r="AL21" s="99">
        <v>0</v>
      </c>
      <c r="AM21" s="99">
        <v>0</v>
      </c>
      <c r="AN21" s="99">
        <v>0</v>
      </c>
      <c r="AO21" s="99">
        <v>0</v>
      </c>
      <c r="AP21" s="99">
        <v>0</v>
      </c>
      <c r="AQ21" s="99" t="s">
        <v>576</v>
      </c>
      <c r="AR21" s="99">
        <v>1763</v>
      </c>
      <c r="AS21" s="99">
        <v>4883</v>
      </c>
      <c r="AT21" s="99">
        <v>5117</v>
      </c>
      <c r="AU21" s="99" t="s">
        <v>1345</v>
      </c>
      <c r="AV21" s="99">
        <v>200</v>
      </c>
      <c r="AW21" s="99" t="s">
        <v>526</v>
      </c>
      <c r="AX21" s="99" t="s">
        <v>1856</v>
      </c>
    </row>
    <row r="22" spans="1:50" ht="18" customHeight="1" x14ac:dyDescent="0.25">
      <c r="A22" s="349" t="s">
        <v>85</v>
      </c>
      <c r="B22" s="99" t="s">
        <v>86</v>
      </c>
      <c r="C22" s="99" t="s">
        <v>35</v>
      </c>
      <c r="D22" s="99" t="s">
        <v>35</v>
      </c>
      <c r="E22" s="350">
        <v>41122</v>
      </c>
      <c r="F22" s="99" t="s">
        <v>37</v>
      </c>
      <c r="G22" s="590" t="s">
        <v>126</v>
      </c>
      <c r="H22" s="99">
        <v>120</v>
      </c>
      <c r="I22" s="351">
        <v>0.375</v>
      </c>
      <c r="J22" s="351">
        <v>0.70833333333333337</v>
      </c>
      <c r="K22" s="99" t="s">
        <v>1429</v>
      </c>
      <c r="L22" s="99" t="s">
        <v>1435</v>
      </c>
      <c r="M22" s="99">
        <v>7</v>
      </c>
      <c r="N22" s="99" t="s">
        <v>1466</v>
      </c>
      <c r="O22" s="99"/>
      <c r="P22" s="99" t="s">
        <v>37</v>
      </c>
      <c r="Q22" s="99" t="s">
        <v>1429</v>
      </c>
      <c r="R22" s="99" t="s">
        <v>1467</v>
      </c>
      <c r="S22" s="99"/>
      <c r="T22" s="99"/>
      <c r="U22" s="99"/>
      <c r="V22" s="99" t="s">
        <v>46</v>
      </c>
      <c r="W22" s="99" t="s">
        <v>32</v>
      </c>
      <c r="X22" s="99" t="s">
        <v>37</v>
      </c>
      <c r="Y22" s="99">
        <v>3771</v>
      </c>
      <c r="Z22" s="99">
        <v>1</v>
      </c>
      <c r="AA22" s="99">
        <v>580</v>
      </c>
      <c r="AB22" s="99">
        <v>0</v>
      </c>
      <c r="AC22" s="99">
        <v>1480</v>
      </c>
      <c r="AD22" s="99">
        <v>0</v>
      </c>
      <c r="AE22" s="99">
        <v>0</v>
      </c>
      <c r="AF22" s="99">
        <v>0</v>
      </c>
      <c r="AG22" s="99">
        <v>2003</v>
      </c>
      <c r="AH22" s="99">
        <v>10</v>
      </c>
      <c r="AI22" s="99">
        <v>24</v>
      </c>
      <c r="AJ22" s="99">
        <v>0</v>
      </c>
      <c r="AK22" s="99">
        <v>0</v>
      </c>
      <c r="AL22" s="99">
        <v>0</v>
      </c>
      <c r="AM22" s="99">
        <v>0</v>
      </c>
      <c r="AN22" s="99">
        <v>0</v>
      </c>
      <c r="AO22" s="99">
        <v>0</v>
      </c>
      <c r="AP22" s="99">
        <v>0</v>
      </c>
      <c r="AQ22" s="99" t="s">
        <v>47</v>
      </c>
      <c r="AR22" s="99">
        <v>1763</v>
      </c>
      <c r="AS22" s="99">
        <v>4063</v>
      </c>
      <c r="AT22" s="99">
        <v>-292</v>
      </c>
      <c r="AU22" s="99" t="s">
        <v>1345</v>
      </c>
      <c r="AV22" s="99">
        <v>75.42</v>
      </c>
      <c r="AW22" s="99" t="s">
        <v>530</v>
      </c>
      <c r="AX22" s="99" t="s">
        <v>1854</v>
      </c>
    </row>
    <row r="23" spans="1:50" ht="18" customHeight="1" x14ac:dyDescent="0.25">
      <c r="A23" s="349" t="s">
        <v>625</v>
      </c>
      <c r="B23" s="99" t="s">
        <v>626</v>
      </c>
      <c r="C23" s="99" t="s">
        <v>35</v>
      </c>
      <c r="D23" s="99" t="s">
        <v>35</v>
      </c>
      <c r="E23" s="350">
        <v>42510</v>
      </c>
      <c r="F23" s="99" t="s">
        <v>37</v>
      </c>
      <c r="G23" s="590" t="s">
        <v>544</v>
      </c>
      <c r="H23" s="99">
        <v>240</v>
      </c>
      <c r="I23" s="351">
        <v>0.375</v>
      </c>
      <c r="J23" s="351">
        <v>0.70833333333333337</v>
      </c>
      <c r="K23" s="99" t="s">
        <v>1429</v>
      </c>
      <c r="L23" s="99" t="s">
        <v>1435</v>
      </c>
      <c r="M23" s="352">
        <v>43141</v>
      </c>
      <c r="N23" s="99" t="s">
        <v>1446</v>
      </c>
      <c r="O23" s="99" t="s">
        <v>1432</v>
      </c>
      <c r="P23" s="99" t="s">
        <v>37</v>
      </c>
      <c r="Q23" s="99" t="s">
        <v>1429</v>
      </c>
      <c r="R23" s="99" t="s">
        <v>1468</v>
      </c>
      <c r="S23" s="99" t="s">
        <v>1444</v>
      </c>
      <c r="T23" s="99"/>
      <c r="U23" s="99"/>
      <c r="V23" s="99" t="s">
        <v>46</v>
      </c>
      <c r="W23" s="99" t="s">
        <v>32</v>
      </c>
      <c r="X23" s="99" t="s">
        <v>37</v>
      </c>
      <c r="Y23" s="99">
        <v>4000</v>
      </c>
      <c r="Z23" s="99">
        <v>0</v>
      </c>
      <c r="AA23" s="99">
        <v>580</v>
      </c>
      <c r="AB23" s="99">
        <v>0</v>
      </c>
      <c r="AC23" s="99">
        <v>1480</v>
      </c>
      <c r="AD23" s="99">
        <v>0</v>
      </c>
      <c r="AE23" s="99">
        <v>0</v>
      </c>
      <c r="AF23" s="99">
        <v>0</v>
      </c>
      <c r="AG23" s="99">
        <v>2483</v>
      </c>
      <c r="AH23" s="99">
        <v>30</v>
      </c>
      <c r="AI23" s="99">
        <v>24</v>
      </c>
      <c r="AJ23" s="99">
        <v>0</v>
      </c>
      <c r="AK23" s="99">
        <v>0</v>
      </c>
      <c r="AL23" s="99">
        <v>0</v>
      </c>
      <c r="AM23" s="99">
        <v>0</v>
      </c>
      <c r="AN23" s="99">
        <v>0</v>
      </c>
      <c r="AO23" s="99">
        <v>0</v>
      </c>
      <c r="AP23" s="99">
        <v>0</v>
      </c>
      <c r="AQ23" s="99" t="s">
        <v>576</v>
      </c>
      <c r="AR23" s="99">
        <v>1763</v>
      </c>
      <c r="AS23" s="99">
        <v>3963</v>
      </c>
      <c r="AT23" s="99">
        <v>37</v>
      </c>
      <c r="AU23" s="99" t="s">
        <v>1345</v>
      </c>
      <c r="AV23" s="99">
        <v>80</v>
      </c>
      <c r="AW23" s="99" t="s">
        <v>528</v>
      </c>
      <c r="AX23" s="99" t="s">
        <v>1424</v>
      </c>
    </row>
    <row r="24" spans="1:50" ht="18" customHeight="1" x14ac:dyDescent="0.25">
      <c r="A24" s="349" t="s">
        <v>1837</v>
      </c>
      <c r="B24" s="99" t="s">
        <v>88</v>
      </c>
      <c r="C24" s="99" t="s">
        <v>56</v>
      </c>
      <c r="D24" s="99" t="s">
        <v>56</v>
      </c>
      <c r="E24" s="350">
        <v>41244</v>
      </c>
      <c r="F24" s="99" t="s">
        <v>37</v>
      </c>
      <c r="G24" s="590" t="s">
        <v>126</v>
      </c>
      <c r="H24" s="99">
        <v>240</v>
      </c>
      <c r="I24" s="351">
        <v>0.375</v>
      </c>
      <c r="J24" s="351">
        <v>0.70833333333333337</v>
      </c>
      <c r="K24" s="99" t="s">
        <v>1429</v>
      </c>
      <c r="L24" s="99" t="s">
        <v>1435</v>
      </c>
      <c r="M24" s="352">
        <v>43317</v>
      </c>
      <c r="N24" s="99" t="s">
        <v>1469</v>
      </c>
      <c r="O24" s="99"/>
      <c r="P24" s="99" t="s">
        <v>37</v>
      </c>
      <c r="Q24" s="99" t="s">
        <v>1429</v>
      </c>
      <c r="R24" s="99" t="s">
        <v>1470</v>
      </c>
      <c r="S24" s="99" t="s">
        <v>1465</v>
      </c>
      <c r="T24" s="99"/>
      <c r="U24" s="99"/>
      <c r="V24" s="99" t="s">
        <v>46</v>
      </c>
      <c r="W24" s="99" t="s">
        <v>32</v>
      </c>
      <c r="X24" s="99" t="s">
        <v>37</v>
      </c>
      <c r="Y24" s="99">
        <v>3042</v>
      </c>
      <c r="Z24" s="99">
        <v>1</v>
      </c>
      <c r="AA24" s="99">
        <v>580</v>
      </c>
      <c r="AB24" s="99">
        <v>0</v>
      </c>
      <c r="AC24" s="99">
        <v>1480</v>
      </c>
      <c r="AD24" s="99">
        <v>0</v>
      </c>
      <c r="AE24" s="99">
        <v>0</v>
      </c>
      <c r="AF24" s="99">
        <v>0</v>
      </c>
      <c r="AG24" s="99">
        <v>2003</v>
      </c>
      <c r="AH24" s="99">
        <v>10</v>
      </c>
      <c r="AI24" s="99">
        <v>24</v>
      </c>
      <c r="AJ24" s="99">
        <v>0</v>
      </c>
      <c r="AK24" s="99">
        <v>0</v>
      </c>
      <c r="AL24" s="99">
        <v>0</v>
      </c>
      <c r="AM24" s="99">
        <v>0</v>
      </c>
      <c r="AN24" s="99">
        <v>0</v>
      </c>
      <c r="AO24" s="99">
        <v>0</v>
      </c>
      <c r="AP24" s="99">
        <v>0</v>
      </c>
      <c r="AQ24" s="99" t="s">
        <v>47</v>
      </c>
      <c r="AR24" s="99">
        <v>1763</v>
      </c>
      <c r="AS24" s="99">
        <v>4063</v>
      </c>
      <c r="AT24" s="99">
        <v>-1021</v>
      </c>
      <c r="AU24" s="99" t="s">
        <v>1345</v>
      </c>
      <c r="AV24" s="99">
        <v>60.84</v>
      </c>
      <c r="AW24" s="99" t="s">
        <v>530</v>
      </c>
      <c r="AX24" s="99" t="s">
        <v>1854</v>
      </c>
    </row>
    <row r="25" spans="1:50" ht="18" customHeight="1" x14ac:dyDescent="0.25">
      <c r="A25" s="349" t="s">
        <v>627</v>
      </c>
      <c r="B25" s="99" t="s">
        <v>628</v>
      </c>
      <c r="C25" s="99" t="s">
        <v>38</v>
      </c>
      <c r="D25" s="99" t="s">
        <v>38</v>
      </c>
      <c r="E25" s="350">
        <v>42461</v>
      </c>
      <c r="F25" s="99" t="s">
        <v>1429</v>
      </c>
      <c r="G25" s="590" t="s">
        <v>545</v>
      </c>
      <c r="H25" s="99">
        <v>240</v>
      </c>
      <c r="I25" s="351">
        <v>0.375</v>
      </c>
      <c r="J25" s="351">
        <v>0.70833333333333337</v>
      </c>
      <c r="K25" s="99" t="s">
        <v>1429</v>
      </c>
      <c r="L25" s="99" t="s">
        <v>1435</v>
      </c>
      <c r="M25" s="352">
        <v>43194</v>
      </c>
      <c r="N25" s="99" t="s">
        <v>1446</v>
      </c>
      <c r="O25" s="99"/>
      <c r="P25" s="99" t="s">
        <v>37</v>
      </c>
      <c r="Q25" s="99" t="s">
        <v>1429</v>
      </c>
      <c r="R25" s="99" t="s">
        <v>1471</v>
      </c>
      <c r="S25" s="99" t="s">
        <v>1453</v>
      </c>
      <c r="T25" s="350">
        <v>44196</v>
      </c>
      <c r="U25" s="99"/>
      <c r="V25" s="99" t="s">
        <v>46</v>
      </c>
      <c r="W25" s="99" t="s">
        <v>32</v>
      </c>
      <c r="X25" s="99" t="s">
        <v>37</v>
      </c>
      <c r="Y25" s="99">
        <v>11000</v>
      </c>
      <c r="Z25" s="99">
        <v>0</v>
      </c>
      <c r="AA25" s="99">
        <v>580</v>
      </c>
      <c r="AB25" s="99">
        <v>0</v>
      </c>
      <c r="AC25" s="99">
        <v>1480</v>
      </c>
      <c r="AD25" s="99">
        <v>0</v>
      </c>
      <c r="AE25" s="99">
        <v>0</v>
      </c>
      <c r="AF25" s="99">
        <v>0</v>
      </c>
      <c r="AG25" s="99">
        <v>2003</v>
      </c>
      <c r="AH25" s="99">
        <v>10</v>
      </c>
      <c r="AI25" s="99">
        <v>24</v>
      </c>
      <c r="AJ25" s="99">
        <v>0</v>
      </c>
      <c r="AK25" s="99">
        <v>0</v>
      </c>
      <c r="AL25" s="99">
        <v>0</v>
      </c>
      <c r="AM25" s="99">
        <v>0</v>
      </c>
      <c r="AN25" s="99">
        <v>0</v>
      </c>
      <c r="AO25" s="99">
        <v>0</v>
      </c>
      <c r="AP25" s="99">
        <v>0</v>
      </c>
      <c r="AQ25" s="99" t="s">
        <v>576</v>
      </c>
      <c r="AR25" s="99">
        <v>1763</v>
      </c>
      <c r="AS25" s="99">
        <v>3483</v>
      </c>
      <c r="AT25" s="99">
        <v>7517</v>
      </c>
      <c r="AU25" s="99" t="s">
        <v>1345</v>
      </c>
      <c r="AV25" s="99">
        <v>220</v>
      </c>
      <c r="AW25" s="99" t="s">
        <v>526</v>
      </c>
      <c r="AX25" s="99" t="s">
        <v>1857</v>
      </c>
    </row>
    <row r="26" spans="1:50" ht="18" customHeight="1" x14ac:dyDescent="0.25">
      <c r="A26" s="349" t="s">
        <v>89</v>
      </c>
      <c r="B26" s="99" t="s">
        <v>90</v>
      </c>
      <c r="C26" s="99" t="s">
        <v>66</v>
      </c>
      <c r="D26" s="99" t="s">
        <v>35</v>
      </c>
      <c r="E26" s="350">
        <v>42217</v>
      </c>
      <c r="F26" s="99" t="s">
        <v>37</v>
      </c>
      <c r="G26" s="590" t="s">
        <v>66</v>
      </c>
      <c r="H26" s="99">
        <v>240</v>
      </c>
      <c r="I26" s="351">
        <v>0.375</v>
      </c>
      <c r="J26" s="351">
        <v>0.70833333333333337</v>
      </c>
      <c r="K26" s="99" t="s">
        <v>1429</v>
      </c>
      <c r="L26" s="99" t="s">
        <v>1435</v>
      </c>
      <c r="M26" s="352">
        <v>43299</v>
      </c>
      <c r="N26" s="99" t="s">
        <v>1446</v>
      </c>
      <c r="O26" s="99"/>
      <c r="P26" s="99" t="s">
        <v>37</v>
      </c>
      <c r="Q26" s="99" t="s">
        <v>1429</v>
      </c>
      <c r="R26" s="99" t="s">
        <v>1472</v>
      </c>
      <c r="S26" s="99" t="s">
        <v>1453</v>
      </c>
      <c r="T26" s="99"/>
      <c r="U26" s="99"/>
      <c r="V26" s="99" t="s">
        <v>46</v>
      </c>
      <c r="W26" s="99" t="s">
        <v>32</v>
      </c>
      <c r="X26" s="99" t="s">
        <v>37</v>
      </c>
      <c r="Y26" s="99">
        <v>6000</v>
      </c>
      <c r="Z26" s="99">
        <v>0</v>
      </c>
      <c r="AA26" s="99">
        <v>580</v>
      </c>
      <c r="AB26" s="99">
        <v>0</v>
      </c>
      <c r="AC26" s="99">
        <v>1480</v>
      </c>
      <c r="AD26" s="99">
        <v>0</v>
      </c>
      <c r="AE26" s="99">
        <v>0</v>
      </c>
      <c r="AF26" s="99">
        <v>0</v>
      </c>
      <c r="AG26" s="99">
        <v>2003</v>
      </c>
      <c r="AH26" s="99">
        <v>10</v>
      </c>
      <c r="AI26" s="99">
        <v>24</v>
      </c>
      <c r="AJ26" s="99">
        <v>0</v>
      </c>
      <c r="AK26" s="99">
        <v>0</v>
      </c>
      <c r="AL26" s="99">
        <v>0</v>
      </c>
      <c r="AM26" s="99">
        <v>0</v>
      </c>
      <c r="AN26" s="99">
        <v>0</v>
      </c>
      <c r="AO26" s="99">
        <v>0</v>
      </c>
      <c r="AP26" s="99">
        <v>0</v>
      </c>
      <c r="AQ26" s="99" t="s">
        <v>47</v>
      </c>
      <c r="AR26" s="99">
        <v>1763</v>
      </c>
      <c r="AS26" s="99">
        <v>3483</v>
      </c>
      <c r="AT26" s="99">
        <v>2517</v>
      </c>
      <c r="AU26" s="99" t="s">
        <v>1345</v>
      </c>
      <c r="AV26" s="99">
        <v>120</v>
      </c>
      <c r="AW26" s="99" t="s">
        <v>527</v>
      </c>
      <c r="AX26" s="99" t="s">
        <v>1856</v>
      </c>
    </row>
    <row r="27" spans="1:50" ht="18" customHeight="1" x14ac:dyDescent="0.25">
      <c r="A27" s="349" t="s">
        <v>91</v>
      </c>
      <c r="B27" s="99" t="s">
        <v>92</v>
      </c>
      <c r="C27" s="99" t="s">
        <v>35</v>
      </c>
      <c r="D27" s="99" t="s">
        <v>35</v>
      </c>
      <c r="E27" s="350">
        <v>41091</v>
      </c>
      <c r="F27" s="99" t="s">
        <v>37</v>
      </c>
      <c r="G27" s="590" t="s">
        <v>44</v>
      </c>
      <c r="H27" s="99">
        <v>120</v>
      </c>
      <c r="I27" s="351">
        <v>0.375</v>
      </c>
      <c r="J27" s="351">
        <v>0.70833333333333337</v>
      </c>
      <c r="K27" s="99" t="s">
        <v>1429</v>
      </c>
      <c r="L27" s="99" t="s">
        <v>1435</v>
      </c>
      <c r="M27" s="99">
        <v>17</v>
      </c>
      <c r="N27" s="99" t="s">
        <v>1446</v>
      </c>
      <c r="O27" s="99"/>
      <c r="P27" s="99" t="s">
        <v>37</v>
      </c>
      <c r="Q27" s="99" t="s">
        <v>1429</v>
      </c>
      <c r="R27" s="99" t="s">
        <v>1473</v>
      </c>
      <c r="S27" s="99" t="s">
        <v>1453</v>
      </c>
      <c r="T27" s="99"/>
      <c r="U27" s="99"/>
      <c r="V27" s="99" t="s">
        <v>46</v>
      </c>
      <c r="W27" s="99" t="s">
        <v>32</v>
      </c>
      <c r="X27" s="99" t="s">
        <v>37</v>
      </c>
      <c r="Y27" s="99">
        <v>5237</v>
      </c>
      <c r="Z27" s="99">
        <v>2</v>
      </c>
      <c r="AA27" s="99">
        <v>580</v>
      </c>
      <c r="AB27" s="99">
        <v>0</v>
      </c>
      <c r="AC27" s="99">
        <v>1480</v>
      </c>
      <c r="AD27" s="99">
        <v>0</v>
      </c>
      <c r="AE27" s="99">
        <v>0</v>
      </c>
      <c r="AF27" s="99">
        <v>0</v>
      </c>
      <c r="AG27" s="99">
        <v>2003</v>
      </c>
      <c r="AH27" s="99">
        <v>10</v>
      </c>
      <c r="AI27" s="99">
        <v>24</v>
      </c>
      <c r="AJ27" s="99">
        <v>0</v>
      </c>
      <c r="AK27" s="99">
        <v>0</v>
      </c>
      <c r="AL27" s="99">
        <v>0</v>
      </c>
      <c r="AM27" s="99">
        <v>0</v>
      </c>
      <c r="AN27" s="99">
        <v>0</v>
      </c>
      <c r="AO27" s="99">
        <v>0</v>
      </c>
      <c r="AP27" s="99">
        <v>0</v>
      </c>
      <c r="AQ27" s="99"/>
      <c r="AR27" s="99">
        <v>1763</v>
      </c>
      <c r="AS27" s="99">
        <v>4643</v>
      </c>
      <c r="AT27" s="99">
        <v>594</v>
      </c>
      <c r="AU27" s="99" t="s">
        <v>1345</v>
      </c>
      <c r="AV27" s="99">
        <v>104.74</v>
      </c>
      <c r="AW27" s="99" t="s">
        <v>528</v>
      </c>
      <c r="AX27" s="99" t="s">
        <v>1858</v>
      </c>
    </row>
    <row r="28" spans="1:50" ht="18" customHeight="1" x14ac:dyDescent="0.25">
      <c r="A28" s="349" t="s">
        <v>629</v>
      </c>
      <c r="B28" s="99" t="s">
        <v>630</v>
      </c>
      <c r="C28" s="99" t="s">
        <v>30</v>
      </c>
      <c r="D28" s="99" t="s">
        <v>30</v>
      </c>
      <c r="E28" s="350">
        <v>42464</v>
      </c>
      <c r="F28" s="99" t="s">
        <v>37</v>
      </c>
      <c r="G28" s="590" t="s">
        <v>544</v>
      </c>
      <c r="H28" s="99">
        <v>240</v>
      </c>
      <c r="I28" s="351">
        <v>0.375</v>
      </c>
      <c r="J28" s="351">
        <v>0.70833333333333337</v>
      </c>
      <c r="K28" s="99" t="s">
        <v>1429</v>
      </c>
      <c r="L28" s="99" t="s">
        <v>1435</v>
      </c>
      <c r="M28" s="352">
        <v>43194</v>
      </c>
      <c r="N28" s="99" t="s">
        <v>1446</v>
      </c>
      <c r="O28" s="99"/>
      <c r="P28" s="99" t="s">
        <v>37</v>
      </c>
      <c r="Q28" s="99" t="s">
        <v>1429</v>
      </c>
      <c r="R28" s="99" t="s">
        <v>1474</v>
      </c>
      <c r="S28" s="99" t="s">
        <v>1444</v>
      </c>
      <c r="T28" s="99"/>
      <c r="U28" s="99"/>
      <c r="V28" s="99" t="s">
        <v>46</v>
      </c>
      <c r="W28" s="99" t="s">
        <v>32</v>
      </c>
      <c r="X28" s="99" t="s">
        <v>37</v>
      </c>
      <c r="Y28" s="99">
        <v>2500</v>
      </c>
      <c r="Z28" s="99">
        <v>0</v>
      </c>
      <c r="AA28" s="99">
        <v>580</v>
      </c>
      <c r="AB28" s="99">
        <v>0</v>
      </c>
      <c r="AC28" s="99">
        <v>1480</v>
      </c>
      <c r="AD28" s="99">
        <v>0</v>
      </c>
      <c r="AE28" s="99">
        <v>0</v>
      </c>
      <c r="AF28" s="99">
        <v>0</v>
      </c>
      <c r="AG28" s="99">
        <v>2003</v>
      </c>
      <c r="AH28" s="99">
        <v>10</v>
      </c>
      <c r="AI28" s="99">
        <v>24</v>
      </c>
      <c r="AJ28" s="99">
        <v>0</v>
      </c>
      <c r="AK28" s="99">
        <v>0</v>
      </c>
      <c r="AL28" s="99">
        <v>0</v>
      </c>
      <c r="AM28" s="99">
        <v>0</v>
      </c>
      <c r="AN28" s="99">
        <v>0</v>
      </c>
      <c r="AO28" s="99">
        <v>0</v>
      </c>
      <c r="AP28" s="99">
        <v>0</v>
      </c>
      <c r="AQ28" s="99" t="s">
        <v>576</v>
      </c>
      <c r="AR28" s="99">
        <v>1763</v>
      </c>
      <c r="AS28" s="99">
        <v>3483</v>
      </c>
      <c r="AT28" s="99">
        <v>-983</v>
      </c>
      <c r="AU28" s="99" t="s">
        <v>1345</v>
      </c>
      <c r="AV28" s="99">
        <v>50</v>
      </c>
      <c r="AW28" s="99" t="s">
        <v>530</v>
      </c>
      <c r="AX28" s="99" t="s">
        <v>1857</v>
      </c>
    </row>
    <row r="29" spans="1:50" ht="18" customHeight="1" x14ac:dyDescent="0.25">
      <c r="A29" s="349" t="s">
        <v>93</v>
      </c>
      <c r="B29" s="99" t="s">
        <v>94</v>
      </c>
      <c r="C29" s="99" t="s">
        <v>30</v>
      </c>
      <c r="D29" s="99" t="s">
        <v>30</v>
      </c>
      <c r="E29" s="350">
        <v>40695</v>
      </c>
      <c r="F29" s="99" t="s">
        <v>37</v>
      </c>
      <c r="G29" s="590" t="s">
        <v>126</v>
      </c>
      <c r="H29" s="99">
        <v>240</v>
      </c>
      <c r="I29" s="351">
        <v>0.375</v>
      </c>
      <c r="J29" s="351">
        <v>0.70833333333333337</v>
      </c>
      <c r="K29" s="99" t="s">
        <v>1429</v>
      </c>
      <c r="L29" s="99" t="s">
        <v>1435</v>
      </c>
      <c r="M29" s="352">
        <v>43256</v>
      </c>
      <c r="N29" s="99" t="s">
        <v>1446</v>
      </c>
      <c r="O29" s="99"/>
      <c r="P29" s="99" t="s">
        <v>37</v>
      </c>
      <c r="Q29" s="99" t="s">
        <v>1429</v>
      </c>
      <c r="R29" s="99" t="s">
        <v>1475</v>
      </c>
      <c r="S29" s="99" t="s">
        <v>1444</v>
      </c>
      <c r="T29" s="99"/>
      <c r="U29" s="99" t="s">
        <v>36</v>
      </c>
      <c r="V29" s="99" t="s">
        <v>46</v>
      </c>
      <c r="W29" s="99" t="s">
        <v>32</v>
      </c>
      <c r="X29" s="99" t="s">
        <v>37</v>
      </c>
      <c r="Y29" s="99">
        <v>4649</v>
      </c>
      <c r="Z29" s="99">
        <v>1</v>
      </c>
      <c r="AA29" s="99">
        <v>580</v>
      </c>
      <c r="AB29" s="99">
        <v>0</v>
      </c>
      <c r="AC29" s="99">
        <v>1480</v>
      </c>
      <c r="AD29" s="99">
        <v>0</v>
      </c>
      <c r="AE29" s="99">
        <v>0</v>
      </c>
      <c r="AF29" s="99">
        <v>0</v>
      </c>
      <c r="AG29" s="99">
        <v>2003</v>
      </c>
      <c r="AH29" s="99">
        <v>10</v>
      </c>
      <c r="AI29" s="99">
        <v>24</v>
      </c>
      <c r="AJ29" s="99">
        <v>0</v>
      </c>
      <c r="AK29" s="99">
        <v>0</v>
      </c>
      <c r="AL29" s="99">
        <v>0</v>
      </c>
      <c r="AM29" s="99">
        <v>0</v>
      </c>
      <c r="AN29" s="99">
        <v>0</v>
      </c>
      <c r="AO29" s="99">
        <v>0</v>
      </c>
      <c r="AP29" s="99">
        <v>0</v>
      </c>
      <c r="AQ29" s="99" t="s">
        <v>47</v>
      </c>
      <c r="AR29" s="99">
        <v>1763</v>
      </c>
      <c r="AS29" s="99">
        <v>4063</v>
      </c>
      <c r="AT29" s="99">
        <v>586</v>
      </c>
      <c r="AU29" s="99" t="s">
        <v>1345</v>
      </c>
      <c r="AV29" s="99">
        <v>92.98</v>
      </c>
      <c r="AW29" s="99" t="s">
        <v>528</v>
      </c>
      <c r="AX29" s="99" t="s">
        <v>1838</v>
      </c>
    </row>
    <row r="30" spans="1:50" ht="18" customHeight="1" x14ac:dyDescent="0.25">
      <c r="A30" s="349" t="s">
        <v>95</v>
      </c>
      <c r="B30" s="99" t="s">
        <v>96</v>
      </c>
      <c r="C30" s="99" t="s">
        <v>35</v>
      </c>
      <c r="D30" s="99" t="s">
        <v>35</v>
      </c>
      <c r="E30" s="350">
        <v>41275</v>
      </c>
      <c r="F30" s="99" t="s">
        <v>1429</v>
      </c>
      <c r="G30" s="590" t="s">
        <v>126</v>
      </c>
      <c r="H30" s="99">
        <v>120</v>
      </c>
      <c r="I30" s="351">
        <v>0.375</v>
      </c>
      <c r="J30" s="351">
        <v>0.70833333333333337</v>
      </c>
      <c r="K30" s="99" t="s">
        <v>1429</v>
      </c>
      <c r="L30" s="99" t="s">
        <v>1435</v>
      </c>
      <c r="M30" s="99" t="s">
        <v>1476</v>
      </c>
      <c r="N30" s="99" t="s">
        <v>1446</v>
      </c>
      <c r="O30" s="99"/>
      <c r="P30" s="99" t="s">
        <v>37</v>
      </c>
      <c r="Q30" s="99" t="s">
        <v>1429</v>
      </c>
      <c r="R30" s="99" t="s">
        <v>1477</v>
      </c>
      <c r="S30" s="99"/>
      <c r="T30" s="99"/>
      <c r="U30" s="99"/>
      <c r="V30" s="99" t="s">
        <v>46</v>
      </c>
      <c r="W30" s="99" t="s">
        <v>32</v>
      </c>
      <c r="X30" s="99" t="s">
        <v>37</v>
      </c>
      <c r="Y30" s="99">
        <v>11400</v>
      </c>
      <c r="Z30" s="99">
        <v>1</v>
      </c>
      <c r="AA30" s="99">
        <v>580</v>
      </c>
      <c r="AB30" s="99">
        <v>0</v>
      </c>
      <c r="AC30" s="99">
        <v>1480</v>
      </c>
      <c r="AD30" s="99">
        <v>0</v>
      </c>
      <c r="AE30" s="99">
        <v>0</v>
      </c>
      <c r="AF30" s="99">
        <v>1350</v>
      </c>
      <c r="AG30" s="99">
        <v>2483</v>
      </c>
      <c r="AH30" s="99">
        <v>30</v>
      </c>
      <c r="AI30" s="99">
        <v>24</v>
      </c>
      <c r="AJ30" s="99">
        <v>0</v>
      </c>
      <c r="AK30" s="99">
        <v>0</v>
      </c>
      <c r="AL30" s="99">
        <v>0</v>
      </c>
      <c r="AM30" s="99">
        <v>0</v>
      </c>
      <c r="AN30" s="99">
        <v>0</v>
      </c>
      <c r="AO30" s="99">
        <v>0</v>
      </c>
      <c r="AP30" s="99">
        <v>0</v>
      </c>
      <c r="AQ30" s="99" t="s">
        <v>47</v>
      </c>
      <c r="AR30" s="99">
        <v>1763</v>
      </c>
      <c r="AS30" s="99">
        <v>5893</v>
      </c>
      <c r="AT30" s="99">
        <v>5507</v>
      </c>
      <c r="AU30" s="99" t="s">
        <v>1345</v>
      </c>
      <c r="AV30" s="99">
        <v>228</v>
      </c>
      <c r="AW30" s="99" t="s">
        <v>526</v>
      </c>
      <c r="AX30" s="99" t="s">
        <v>1055</v>
      </c>
    </row>
    <row r="31" spans="1:50" ht="18" customHeight="1" x14ac:dyDescent="0.25">
      <c r="A31" s="349" t="s">
        <v>97</v>
      </c>
      <c r="B31" s="99" t="s">
        <v>98</v>
      </c>
      <c r="C31" s="99" t="s">
        <v>35</v>
      </c>
      <c r="D31" s="99" t="s">
        <v>35</v>
      </c>
      <c r="E31" s="350">
        <v>41001</v>
      </c>
      <c r="F31" s="99" t="s">
        <v>37</v>
      </c>
      <c r="G31" s="590" t="s">
        <v>272</v>
      </c>
      <c r="H31" s="99">
        <v>120</v>
      </c>
      <c r="I31" s="351">
        <v>0.375</v>
      </c>
      <c r="J31" s="351">
        <v>0.70833333333333337</v>
      </c>
      <c r="K31" s="99" t="s">
        <v>1429</v>
      </c>
      <c r="L31" s="99" t="s">
        <v>1435</v>
      </c>
      <c r="M31" s="352">
        <v>43317</v>
      </c>
      <c r="N31" s="99" t="s">
        <v>1446</v>
      </c>
      <c r="O31" s="99"/>
      <c r="P31" s="99" t="s">
        <v>37</v>
      </c>
      <c r="Q31" s="99" t="s">
        <v>1429</v>
      </c>
      <c r="R31" s="99" t="s">
        <v>1478</v>
      </c>
      <c r="S31" s="99" t="s">
        <v>1444</v>
      </c>
      <c r="T31" s="99"/>
      <c r="U31" s="99"/>
      <c r="V31" s="99" t="s">
        <v>46</v>
      </c>
      <c r="W31" s="99" t="s">
        <v>32</v>
      </c>
      <c r="X31" s="99" t="s">
        <v>37</v>
      </c>
      <c r="Y31" s="99">
        <v>5237</v>
      </c>
      <c r="Z31" s="99">
        <v>1</v>
      </c>
      <c r="AA31" s="99">
        <v>580</v>
      </c>
      <c r="AB31" s="99">
        <v>0</v>
      </c>
      <c r="AC31" s="99">
        <v>1480</v>
      </c>
      <c r="AD31" s="99">
        <v>0</v>
      </c>
      <c r="AE31" s="99">
        <v>0</v>
      </c>
      <c r="AF31" s="99">
        <v>0</v>
      </c>
      <c r="AG31" s="99">
        <v>2003</v>
      </c>
      <c r="AH31" s="99">
        <v>10</v>
      </c>
      <c r="AI31" s="99">
        <v>24</v>
      </c>
      <c r="AJ31" s="99">
        <v>0</v>
      </c>
      <c r="AK31" s="99">
        <v>0</v>
      </c>
      <c r="AL31" s="99">
        <v>0</v>
      </c>
      <c r="AM31" s="99">
        <v>0</v>
      </c>
      <c r="AN31" s="99">
        <v>0</v>
      </c>
      <c r="AO31" s="99">
        <v>0</v>
      </c>
      <c r="AP31" s="99">
        <v>0</v>
      </c>
      <c r="AQ31" s="99" t="s">
        <v>47</v>
      </c>
      <c r="AR31" s="99">
        <v>1763</v>
      </c>
      <c r="AS31" s="99">
        <v>4063</v>
      </c>
      <c r="AT31" s="99">
        <v>1174</v>
      </c>
      <c r="AU31" s="99" t="s">
        <v>1345</v>
      </c>
      <c r="AV31" s="99">
        <v>104.74</v>
      </c>
      <c r="AW31" s="99" t="s">
        <v>527</v>
      </c>
      <c r="AX31" s="99" t="s">
        <v>1854</v>
      </c>
    </row>
    <row r="32" spans="1:50" ht="18" customHeight="1" x14ac:dyDescent="0.25">
      <c r="A32" s="349" t="s">
        <v>99</v>
      </c>
      <c r="B32" s="99" t="s">
        <v>100</v>
      </c>
      <c r="C32" s="99" t="s">
        <v>35</v>
      </c>
      <c r="D32" s="99" t="s">
        <v>35</v>
      </c>
      <c r="E32" s="350">
        <v>41153</v>
      </c>
      <c r="F32" s="99" t="s">
        <v>37</v>
      </c>
      <c r="G32" s="590" t="s">
        <v>272</v>
      </c>
      <c r="H32" s="99">
        <v>120</v>
      </c>
      <c r="I32" s="351">
        <v>0.375</v>
      </c>
      <c r="J32" s="351">
        <v>0.70833333333333337</v>
      </c>
      <c r="K32" s="99" t="s">
        <v>1429</v>
      </c>
      <c r="L32" s="99" t="s">
        <v>1435</v>
      </c>
      <c r="M32" s="352">
        <v>43352</v>
      </c>
      <c r="N32" s="99" t="s">
        <v>1479</v>
      </c>
      <c r="O32" s="99"/>
      <c r="P32" s="99" t="s">
        <v>37</v>
      </c>
      <c r="Q32" s="99" t="s">
        <v>1429</v>
      </c>
      <c r="R32" s="99" t="s">
        <v>1480</v>
      </c>
      <c r="S32" s="99" t="s">
        <v>1444</v>
      </c>
      <c r="T32" s="99"/>
      <c r="U32" s="99"/>
      <c r="V32" s="99" t="s">
        <v>46</v>
      </c>
      <c r="W32" s="99" t="s">
        <v>32</v>
      </c>
      <c r="X32" s="99" t="s">
        <v>37</v>
      </c>
      <c r="Y32" s="99">
        <v>4190</v>
      </c>
      <c r="Z32" s="99">
        <v>0</v>
      </c>
      <c r="AA32" s="99">
        <v>580</v>
      </c>
      <c r="AB32" s="99">
        <v>0</v>
      </c>
      <c r="AC32" s="99">
        <v>1480</v>
      </c>
      <c r="AD32" s="99">
        <v>0</v>
      </c>
      <c r="AE32" s="99">
        <v>0</v>
      </c>
      <c r="AF32" s="99">
        <v>0</v>
      </c>
      <c r="AG32" s="99">
        <v>2003</v>
      </c>
      <c r="AH32" s="99">
        <v>10</v>
      </c>
      <c r="AI32" s="99">
        <v>24</v>
      </c>
      <c r="AJ32" s="99">
        <v>0</v>
      </c>
      <c r="AK32" s="99">
        <v>0</v>
      </c>
      <c r="AL32" s="99">
        <v>0</v>
      </c>
      <c r="AM32" s="99">
        <v>0</v>
      </c>
      <c r="AN32" s="99">
        <v>0</v>
      </c>
      <c r="AO32" s="99">
        <v>0</v>
      </c>
      <c r="AP32" s="99">
        <v>0</v>
      </c>
      <c r="AQ32" s="99" t="s">
        <v>47</v>
      </c>
      <c r="AR32" s="99">
        <v>1763</v>
      </c>
      <c r="AS32" s="99">
        <v>3483</v>
      </c>
      <c r="AT32" s="99">
        <v>707</v>
      </c>
      <c r="AU32" s="99" t="s">
        <v>1345</v>
      </c>
      <c r="AV32" s="99">
        <v>83.8</v>
      </c>
      <c r="AW32" s="99" t="s">
        <v>528</v>
      </c>
      <c r="AX32" s="99" t="s">
        <v>1858</v>
      </c>
    </row>
    <row r="33" spans="1:50" ht="18" customHeight="1" x14ac:dyDescent="0.25">
      <c r="A33" s="349" t="s">
        <v>101</v>
      </c>
      <c r="B33" s="99" t="s">
        <v>102</v>
      </c>
      <c r="C33" s="99" t="s">
        <v>35</v>
      </c>
      <c r="D33" s="99" t="s">
        <v>35</v>
      </c>
      <c r="E33" s="350">
        <v>41198</v>
      </c>
      <c r="F33" s="99" t="s">
        <v>1429</v>
      </c>
      <c r="G33" s="590" t="s">
        <v>547</v>
      </c>
      <c r="H33" s="99">
        <v>120</v>
      </c>
      <c r="I33" s="351">
        <v>0.375</v>
      </c>
      <c r="J33" s="351">
        <v>0.70833333333333337</v>
      </c>
      <c r="K33" s="99" t="s">
        <v>1429</v>
      </c>
      <c r="L33" s="99" t="s">
        <v>1481</v>
      </c>
      <c r="M33" s="99" t="s">
        <v>1482</v>
      </c>
      <c r="N33" s="99" t="s">
        <v>1483</v>
      </c>
      <c r="O33" s="99"/>
      <c r="P33" s="99" t="s">
        <v>37</v>
      </c>
      <c r="Q33" s="99" t="s">
        <v>1429</v>
      </c>
      <c r="R33" s="99" t="s">
        <v>1484</v>
      </c>
      <c r="S33" s="99" t="s">
        <v>1444</v>
      </c>
      <c r="T33" s="99"/>
      <c r="U33" s="99"/>
      <c r="V33" s="99" t="s">
        <v>46</v>
      </c>
      <c r="W33" s="99" t="s">
        <v>32</v>
      </c>
      <c r="X33" s="99" t="s">
        <v>37</v>
      </c>
      <c r="Y33" s="99">
        <v>16000</v>
      </c>
      <c r="Z33" s="99">
        <v>4</v>
      </c>
      <c r="AA33" s="99">
        <v>580</v>
      </c>
      <c r="AB33" s="99">
        <v>0</v>
      </c>
      <c r="AC33" s="99">
        <v>1480</v>
      </c>
      <c r="AD33" s="99">
        <v>0</v>
      </c>
      <c r="AE33" s="99">
        <v>0</v>
      </c>
      <c r="AF33" s="99">
        <v>0</v>
      </c>
      <c r="AG33" s="99">
        <v>2723</v>
      </c>
      <c r="AH33" s="99">
        <v>40</v>
      </c>
      <c r="AI33" s="99">
        <v>24</v>
      </c>
      <c r="AJ33" s="99">
        <v>0</v>
      </c>
      <c r="AK33" s="99">
        <v>0</v>
      </c>
      <c r="AL33" s="99">
        <v>0</v>
      </c>
      <c r="AM33" s="99">
        <v>0</v>
      </c>
      <c r="AN33" s="99">
        <v>0</v>
      </c>
      <c r="AO33" s="99">
        <v>0</v>
      </c>
      <c r="AP33" s="99">
        <v>0</v>
      </c>
      <c r="AQ33" s="99" t="s">
        <v>47</v>
      </c>
      <c r="AR33" s="99">
        <v>1763</v>
      </c>
      <c r="AS33" s="99">
        <v>6523</v>
      </c>
      <c r="AT33" s="99">
        <v>9477</v>
      </c>
      <c r="AU33" s="99" t="s">
        <v>1345</v>
      </c>
      <c r="AV33" s="99">
        <v>320</v>
      </c>
      <c r="AW33" s="99" t="s">
        <v>526</v>
      </c>
      <c r="AX33" s="99" t="s">
        <v>1795</v>
      </c>
    </row>
    <row r="34" spans="1:50" ht="18" customHeight="1" x14ac:dyDescent="0.25">
      <c r="A34" s="349" t="s">
        <v>103</v>
      </c>
      <c r="B34" s="99" t="s">
        <v>104</v>
      </c>
      <c r="C34" s="99" t="s">
        <v>40</v>
      </c>
      <c r="D34" s="99" t="s">
        <v>30</v>
      </c>
      <c r="E34" s="350">
        <v>40463</v>
      </c>
      <c r="F34" s="99" t="s">
        <v>37</v>
      </c>
      <c r="G34" s="590" t="s">
        <v>40</v>
      </c>
      <c r="H34" s="99">
        <v>480</v>
      </c>
      <c r="I34" s="351">
        <v>0.375</v>
      </c>
      <c r="J34" s="351">
        <v>0.70833333333333337</v>
      </c>
      <c r="K34" s="99" t="s">
        <v>1429</v>
      </c>
      <c r="L34" s="99" t="s">
        <v>1435</v>
      </c>
      <c r="M34" s="99" t="s">
        <v>140</v>
      </c>
      <c r="N34" s="99" t="s">
        <v>1461</v>
      </c>
      <c r="O34" s="99"/>
      <c r="P34" s="99" t="s">
        <v>37</v>
      </c>
      <c r="Q34" s="99" t="s">
        <v>1429</v>
      </c>
      <c r="R34" s="99" t="s">
        <v>1485</v>
      </c>
      <c r="S34" s="99" t="s">
        <v>1453</v>
      </c>
      <c r="T34" s="99"/>
      <c r="U34" s="99"/>
      <c r="V34" s="99" t="s">
        <v>31</v>
      </c>
      <c r="W34" s="99" t="s">
        <v>32</v>
      </c>
      <c r="X34" s="99" t="s">
        <v>37</v>
      </c>
      <c r="Y34" s="99">
        <v>1068</v>
      </c>
      <c r="Z34" s="99">
        <v>0</v>
      </c>
      <c r="AA34" s="99">
        <v>580</v>
      </c>
      <c r="AB34" s="99">
        <v>0</v>
      </c>
      <c r="AC34" s="99">
        <v>0</v>
      </c>
      <c r="AD34" s="99">
        <v>0</v>
      </c>
      <c r="AE34" s="99">
        <v>0</v>
      </c>
      <c r="AF34" s="99">
        <v>0</v>
      </c>
      <c r="AG34" s="99">
        <v>1811</v>
      </c>
      <c r="AH34" s="99">
        <v>2</v>
      </c>
      <c r="AI34" s="99">
        <v>24</v>
      </c>
      <c r="AJ34" s="99">
        <v>0</v>
      </c>
      <c r="AK34" s="99">
        <v>0</v>
      </c>
      <c r="AL34" s="99">
        <v>0</v>
      </c>
      <c r="AM34" s="99">
        <v>0</v>
      </c>
      <c r="AN34" s="99">
        <v>0</v>
      </c>
      <c r="AO34" s="99">
        <v>0</v>
      </c>
      <c r="AP34" s="99">
        <v>0</v>
      </c>
      <c r="AQ34" s="99"/>
      <c r="AR34" s="99">
        <v>1763</v>
      </c>
      <c r="AS34" s="99">
        <v>1811</v>
      </c>
      <c r="AT34" s="99">
        <v>-743</v>
      </c>
      <c r="AU34" s="99" t="s">
        <v>1345</v>
      </c>
      <c r="AV34" s="99">
        <v>21.36</v>
      </c>
      <c r="AW34" s="99" t="s">
        <v>530</v>
      </c>
      <c r="AX34" s="99" t="s">
        <v>1045</v>
      </c>
    </row>
    <row r="35" spans="1:50" ht="18" customHeight="1" x14ac:dyDescent="0.25">
      <c r="A35" s="349" t="s">
        <v>105</v>
      </c>
      <c r="B35" s="99" t="s">
        <v>106</v>
      </c>
      <c r="C35" s="99" t="s">
        <v>44</v>
      </c>
      <c r="D35" s="99" t="s">
        <v>45</v>
      </c>
      <c r="E35" s="350">
        <v>40872</v>
      </c>
      <c r="F35" s="99" t="s">
        <v>37</v>
      </c>
      <c r="G35" s="590" t="s">
        <v>44</v>
      </c>
      <c r="H35" s="99">
        <v>240</v>
      </c>
      <c r="I35" s="351">
        <v>0.375</v>
      </c>
      <c r="J35" s="351">
        <v>0.70833333333333337</v>
      </c>
      <c r="K35" s="99" t="s">
        <v>1429</v>
      </c>
      <c r="L35" s="99" t="s">
        <v>1435</v>
      </c>
      <c r="M35" s="352">
        <v>43195</v>
      </c>
      <c r="N35" s="99" t="s">
        <v>1446</v>
      </c>
      <c r="O35" s="99"/>
      <c r="P35" s="99" t="s">
        <v>37</v>
      </c>
      <c r="Q35" s="99" t="s">
        <v>1429</v>
      </c>
      <c r="R35" s="99" t="s">
        <v>1486</v>
      </c>
      <c r="S35" s="99" t="s">
        <v>1453</v>
      </c>
      <c r="T35" s="99"/>
      <c r="U35" s="99"/>
      <c r="V35" s="99" t="s">
        <v>46</v>
      </c>
      <c r="W35" s="99" t="s">
        <v>32</v>
      </c>
      <c r="X35" s="99" t="s">
        <v>37</v>
      </c>
      <c r="Y35" s="99">
        <v>7800</v>
      </c>
      <c r="Z35" s="99">
        <v>0</v>
      </c>
      <c r="AA35" s="99">
        <v>580</v>
      </c>
      <c r="AB35" s="99">
        <v>0</v>
      </c>
      <c r="AC35" s="99">
        <v>1480</v>
      </c>
      <c r="AD35" s="99">
        <v>0</v>
      </c>
      <c r="AE35" s="99">
        <v>0</v>
      </c>
      <c r="AF35" s="99">
        <v>0</v>
      </c>
      <c r="AG35" s="99">
        <v>2003</v>
      </c>
      <c r="AH35" s="99">
        <v>10</v>
      </c>
      <c r="AI35" s="99">
        <v>24</v>
      </c>
      <c r="AJ35" s="99">
        <v>0</v>
      </c>
      <c r="AK35" s="99">
        <v>0</v>
      </c>
      <c r="AL35" s="99">
        <v>0</v>
      </c>
      <c r="AM35" s="99">
        <v>0</v>
      </c>
      <c r="AN35" s="99">
        <v>0</v>
      </c>
      <c r="AO35" s="99">
        <v>0</v>
      </c>
      <c r="AP35" s="99">
        <v>0</v>
      </c>
      <c r="AQ35" s="99" t="s">
        <v>47</v>
      </c>
      <c r="AR35" s="99">
        <v>1763</v>
      </c>
      <c r="AS35" s="99">
        <v>3483</v>
      </c>
      <c r="AT35" s="99">
        <v>4317</v>
      </c>
      <c r="AU35" s="99" t="s">
        <v>1345</v>
      </c>
      <c r="AV35" s="99">
        <v>156</v>
      </c>
      <c r="AW35" s="99" t="s">
        <v>527</v>
      </c>
      <c r="AX35" s="99" t="s">
        <v>1853</v>
      </c>
    </row>
    <row r="36" spans="1:50" ht="18" customHeight="1" x14ac:dyDescent="0.25">
      <c r="A36" s="349" t="s">
        <v>107</v>
      </c>
      <c r="B36" s="99" t="s">
        <v>108</v>
      </c>
      <c r="C36" s="99" t="s">
        <v>30</v>
      </c>
      <c r="D36" s="99" t="s">
        <v>30</v>
      </c>
      <c r="E36" s="350">
        <v>39814</v>
      </c>
      <c r="F36" s="99" t="s">
        <v>1429</v>
      </c>
      <c r="G36" s="590" t="s">
        <v>29</v>
      </c>
      <c r="H36" s="99">
        <v>0</v>
      </c>
      <c r="I36" s="351">
        <v>0.375</v>
      </c>
      <c r="J36" s="351">
        <v>0.6875</v>
      </c>
      <c r="K36" s="99" t="s">
        <v>37</v>
      </c>
      <c r="L36" s="99" t="s">
        <v>1435</v>
      </c>
      <c r="M36" s="352">
        <v>43101</v>
      </c>
      <c r="N36" s="99"/>
      <c r="O36" s="99"/>
      <c r="P36" s="99" t="s">
        <v>37</v>
      </c>
      <c r="Q36" s="99" t="s">
        <v>1429</v>
      </c>
      <c r="R36" s="99" t="s">
        <v>1487</v>
      </c>
      <c r="S36" s="99" t="s">
        <v>1453</v>
      </c>
      <c r="T36" s="99"/>
      <c r="U36" s="99" t="s">
        <v>109</v>
      </c>
      <c r="V36" s="99" t="s">
        <v>31</v>
      </c>
      <c r="W36" s="99" t="s">
        <v>32</v>
      </c>
      <c r="X36" s="99" t="s">
        <v>37</v>
      </c>
      <c r="Y36" s="99">
        <v>7400</v>
      </c>
      <c r="Z36" s="99">
        <v>16</v>
      </c>
      <c r="AA36" s="99">
        <v>580</v>
      </c>
      <c r="AB36" s="99">
        <v>0</v>
      </c>
      <c r="AC36" s="99">
        <v>0</v>
      </c>
      <c r="AD36" s="99">
        <v>0</v>
      </c>
      <c r="AE36" s="99">
        <v>0</v>
      </c>
      <c r="AF36" s="99">
        <v>0</v>
      </c>
      <c r="AG36" s="99">
        <v>2003</v>
      </c>
      <c r="AH36" s="99">
        <v>10</v>
      </c>
      <c r="AI36" s="99">
        <v>24</v>
      </c>
      <c r="AJ36" s="99">
        <v>0</v>
      </c>
      <c r="AK36" s="99">
        <v>0</v>
      </c>
      <c r="AL36" s="99">
        <v>0</v>
      </c>
      <c r="AM36" s="99">
        <v>0</v>
      </c>
      <c r="AN36" s="99">
        <v>0</v>
      </c>
      <c r="AO36" s="99">
        <v>0</v>
      </c>
      <c r="AP36" s="99">
        <v>0</v>
      </c>
      <c r="AQ36" s="99"/>
      <c r="AR36" s="99">
        <v>1763</v>
      </c>
      <c r="AS36" s="99">
        <v>11283</v>
      </c>
      <c r="AT36" s="99">
        <v>-3883</v>
      </c>
      <c r="AU36" s="99" t="s">
        <v>1345</v>
      </c>
      <c r="AV36" s="99">
        <v>148</v>
      </c>
      <c r="AW36" s="99" t="s">
        <v>530</v>
      </c>
      <c r="AX36" s="99" t="s">
        <v>1042</v>
      </c>
    </row>
    <row r="37" spans="1:50" ht="18" customHeight="1" x14ac:dyDescent="0.25">
      <c r="A37" s="349" t="s">
        <v>110</v>
      </c>
      <c r="B37" s="99" t="s">
        <v>111</v>
      </c>
      <c r="C37" s="99" t="s">
        <v>30</v>
      </c>
      <c r="D37" s="99" t="s">
        <v>30</v>
      </c>
      <c r="E37" s="350">
        <v>41162</v>
      </c>
      <c r="F37" s="99" t="s">
        <v>1429</v>
      </c>
      <c r="G37" s="590" t="s">
        <v>126</v>
      </c>
      <c r="H37" s="99">
        <v>240</v>
      </c>
      <c r="I37" s="351">
        <v>0.33333333333333331</v>
      </c>
      <c r="J37" s="351">
        <v>0.66666666666666663</v>
      </c>
      <c r="K37" s="99" t="s">
        <v>1429</v>
      </c>
      <c r="L37" s="99" t="s">
        <v>1435</v>
      </c>
      <c r="M37" s="352">
        <v>43260</v>
      </c>
      <c r="N37" s="99" t="s">
        <v>1446</v>
      </c>
      <c r="O37" s="99"/>
      <c r="P37" s="99" t="s">
        <v>37</v>
      </c>
      <c r="Q37" s="99" t="s">
        <v>1429</v>
      </c>
      <c r="R37" s="99" t="s">
        <v>1488</v>
      </c>
      <c r="S37" s="99" t="s">
        <v>1489</v>
      </c>
      <c r="T37" s="99"/>
      <c r="U37" s="99"/>
      <c r="V37" s="99" t="s">
        <v>46</v>
      </c>
      <c r="W37" s="99" t="s">
        <v>32</v>
      </c>
      <c r="X37" s="99" t="s">
        <v>37</v>
      </c>
      <c r="Y37" s="99">
        <v>3600</v>
      </c>
      <c r="Z37" s="99">
        <v>0</v>
      </c>
      <c r="AA37" s="99">
        <v>580</v>
      </c>
      <c r="AB37" s="99">
        <v>0</v>
      </c>
      <c r="AC37" s="99">
        <v>1480</v>
      </c>
      <c r="AD37" s="99">
        <v>0</v>
      </c>
      <c r="AE37" s="99">
        <v>0</v>
      </c>
      <c r="AF37" s="99">
        <v>0</v>
      </c>
      <c r="AG37" s="99">
        <v>2243</v>
      </c>
      <c r="AH37" s="99">
        <v>20</v>
      </c>
      <c r="AI37" s="99">
        <v>24</v>
      </c>
      <c r="AJ37" s="99">
        <v>0</v>
      </c>
      <c r="AK37" s="99">
        <v>0</v>
      </c>
      <c r="AL37" s="99">
        <v>0</v>
      </c>
      <c r="AM37" s="99">
        <v>0</v>
      </c>
      <c r="AN37" s="99">
        <v>0</v>
      </c>
      <c r="AO37" s="99">
        <v>0</v>
      </c>
      <c r="AP37" s="99">
        <v>0</v>
      </c>
      <c r="AQ37" s="99" t="s">
        <v>47</v>
      </c>
      <c r="AR37" s="99">
        <v>1763</v>
      </c>
      <c r="AS37" s="99">
        <v>3723</v>
      </c>
      <c r="AT37" s="99">
        <v>-123</v>
      </c>
      <c r="AU37" s="99" t="s">
        <v>1345</v>
      </c>
      <c r="AV37" s="99">
        <v>72</v>
      </c>
      <c r="AW37" s="99" t="s">
        <v>530</v>
      </c>
      <c r="AX37" s="99" t="s">
        <v>1855</v>
      </c>
    </row>
    <row r="38" spans="1:50" ht="18" customHeight="1" x14ac:dyDescent="0.25">
      <c r="A38" s="349" t="s">
        <v>112</v>
      </c>
      <c r="B38" s="99" t="s">
        <v>113</v>
      </c>
      <c r="C38" s="99" t="s">
        <v>38</v>
      </c>
      <c r="D38" s="99" t="s">
        <v>38</v>
      </c>
      <c r="E38" s="350">
        <v>42370</v>
      </c>
      <c r="F38" s="99" t="s">
        <v>1429</v>
      </c>
      <c r="G38" s="590" t="s">
        <v>44</v>
      </c>
      <c r="H38" s="99">
        <v>120</v>
      </c>
      <c r="I38" s="351">
        <v>0.375</v>
      </c>
      <c r="J38" s="351">
        <v>0.70833333333333337</v>
      </c>
      <c r="K38" s="99" t="s">
        <v>1429</v>
      </c>
      <c r="L38" s="99" t="s">
        <v>1435</v>
      </c>
      <c r="M38" s="99" t="s">
        <v>1490</v>
      </c>
      <c r="N38" s="99" t="s">
        <v>1491</v>
      </c>
      <c r="O38" s="99"/>
      <c r="P38" s="99" t="s">
        <v>37</v>
      </c>
      <c r="Q38" s="99" t="s">
        <v>1429</v>
      </c>
      <c r="R38" s="99" t="s">
        <v>1492</v>
      </c>
      <c r="S38" s="99" t="s">
        <v>1453</v>
      </c>
      <c r="T38" s="99"/>
      <c r="U38" s="99"/>
      <c r="V38" s="99" t="s">
        <v>46</v>
      </c>
      <c r="W38" s="99" t="s">
        <v>32</v>
      </c>
      <c r="X38" s="99" t="s">
        <v>37</v>
      </c>
      <c r="Y38" s="99">
        <v>32000</v>
      </c>
      <c r="Z38" s="99">
        <v>5</v>
      </c>
      <c r="AA38" s="99">
        <v>580</v>
      </c>
      <c r="AB38" s="99">
        <v>0</v>
      </c>
      <c r="AC38" s="99">
        <v>1480</v>
      </c>
      <c r="AD38" s="99">
        <v>0</v>
      </c>
      <c r="AE38" s="99">
        <v>0</v>
      </c>
      <c r="AF38" s="99">
        <v>0</v>
      </c>
      <c r="AG38" s="99">
        <v>5363</v>
      </c>
      <c r="AH38" s="99">
        <v>150</v>
      </c>
      <c r="AI38" s="99">
        <v>24</v>
      </c>
      <c r="AJ38" s="99">
        <v>0</v>
      </c>
      <c r="AK38" s="99">
        <v>0</v>
      </c>
      <c r="AL38" s="99">
        <v>0</v>
      </c>
      <c r="AM38" s="99">
        <v>0</v>
      </c>
      <c r="AN38" s="99">
        <v>0</v>
      </c>
      <c r="AO38" s="99">
        <v>0</v>
      </c>
      <c r="AP38" s="99">
        <v>0</v>
      </c>
      <c r="AQ38" s="99" t="s">
        <v>47</v>
      </c>
      <c r="AR38" s="99">
        <v>1763</v>
      </c>
      <c r="AS38" s="99">
        <v>9743</v>
      </c>
      <c r="AT38" s="99">
        <v>22257</v>
      </c>
      <c r="AU38" s="99" t="s">
        <v>1345</v>
      </c>
      <c r="AV38" s="99">
        <v>640</v>
      </c>
      <c r="AW38" s="99" t="s">
        <v>526</v>
      </c>
      <c r="AX38" s="99" t="s">
        <v>1858</v>
      </c>
    </row>
    <row r="39" spans="1:50" ht="18" customHeight="1" x14ac:dyDescent="0.25">
      <c r="A39" s="349" t="s">
        <v>114</v>
      </c>
      <c r="B39" s="99" t="s">
        <v>115</v>
      </c>
      <c r="C39" s="99" t="s">
        <v>29</v>
      </c>
      <c r="D39" s="99" t="s">
        <v>56</v>
      </c>
      <c r="E39" s="350">
        <v>39083</v>
      </c>
      <c r="F39" s="99" t="s">
        <v>1429</v>
      </c>
      <c r="G39" s="590" t="s">
        <v>29</v>
      </c>
      <c r="H39" s="99">
        <v>0</v>
      </c>
      <c r="I39" s="99"/>
      <c r="J39" s="99"/>
      <c r="K39" s="99" t="s">
        <v>1429</v>
      </c>
      <c r="L39" s="99">
        <v>99</v>
      </c>
      <c r="M39" s="352">
        <v>43102</v>
      </c>
      <c r="N39" s="99" t="s">
        <v>1839</v>
      </c>
      <c r="O39" s="99"/>
      <c r="P39" s="99" t="s">
        <v>1429</v>
      </c>
      <c r="Q39" s="99" t="s">
        <v>1429</v>
      </c>
      <c r="R39" s="99" t="s">
        <v>1493</v>
      </c>
      <c r="S39" s="99" t="s">
        <v>1465</v>
      </c>
      <c r="T39" s="99"/>
      <c r="U39" s="99"/>
      <c r="V39" s="99" t="s">
        <v>31</v>
      </c>
      <c r="W39" s="99" t="s">
        <v>32</v>
      </c>
      <c r="X39" s="99" t="s">
        <v>1429</v>
      </c>
      <c r="Y39" s="99">
        <v>500</v>
      </c>
      <c r="Z39" s="99">
        <v>0</v>
      </c>
      <c r="AA39" s="99">
        <v>580</v>
      </c>
      <c r="AB39" s="99">
        <v>0</v>
      </c>
      <c r="AC39" s="99">
        <v>0</v>
      </c>
      <c r="AD39" s="99">
        <v>0</v>
      </c>
      <c r="AE39" s="99">
        <v>0</v>
      </c>
      <c r="AF39" s="99">
        <v>0</v>
      </c>
      <c r="AG39" s="99">
        <v>2003</v>
      </c>
      <c r="AH39" s="99">
        <v>10</v>
      </c>
      <c r="AI39" s="99">
        <v>24</v>
      </c>
      <c r="AJ39" s="99">
        <v>0</v>
      </c>
      <c r="AK39" s="99">
        <v>0</v>
      </c>
      <c r="AL39" s="99">
        <v>0</v>
      </c>
      <c r="AM39" s="99">
        <v>0</v>
      </c>
      <c r="AN39" s="99">
        <v>0</v>
      </c>
      <c r="AO39" s="99">
        <v>0</v>
      </c>
      <c r="AP39" s="99">
        <v>0</v>
      </c>
      <c r="AQ39" s="99"/>
      <c r="AR39" s="99">
        <v>1763</v>
      </c>
      <c r="AS39" s="99">
        <v>2003</v>
      </c>
      <c r="AT39" s="99">
        <v>-1503</v>
      </c>
      <c r="AU39" s="99" t="s">
        <v>1345</v>
      </c>
      <c r="AV39" s="99">
        <v>10</v>
      </c>
      <c r="AW39" s="99" t="s">
        <v>530</v>
      </c>
      <c r="AX39" s="99" t="s">
        <v>1041</v>
      </c>
    </row>
    <row r="40" spans="1:50" ht="18" customHeight="1" x14ac:dyDescent="0.25">
      <c r="A40" s="349" t="s">
        <v>116</v>
      </c>
      <c r="B40" s="99" t="s">
        <v>117</v>
      </c>
      <c r="C40" s="99">
        <v>70</v>
      </c>
      <c r="D40" s="99" t="s">
        <v>56</v>
      </c>
      <c r="E40" s="350">
        <v>40074</v>
      </c>
      <c r="F40" s="99" t="s">
        <v>1429</v>
      </c>
      <c r="G40" s="590" t="s">
        <v>52</v>
      </c>
      <c r="H40" s="99">
        <v>0</v>
      </c>
      <c r="I40" s="99"/>
      <c r="J40" s="99"/>
      <c r="K40" s="99" t="s">
        <v>1429</v>
      </c>
      <c r="L40" s="99">
        <v>0</v>
      </c>
      <c r="M40" s="99">
        <v>0</v>
      </c>
      <c r="N40" s="99"/>
      <c r="O40" s="99"/>
      <c r="P40" s="99" t="s">
        <v>37</v>
      </c>
      <c r="Q40" s="99" t="s">
        <v>1429</v>
      </c>
      <c r="R40" s="99" t="s">
        <v>1787</v>
      </c>
      <c r="S40" s="99"/>
      <c r="T40" s="99"/>
      <c r="U40" s="99"/>
      <c r="V40" s="99" t="s">
        <v>71</v>
      </c>
      <c r="W40" s="99" t="s">
        <v>32</v>
      </c>
      <c r="X40" s="99" t="s">
        <v>37</v>
      </c>
      <c r="Y40" s="99">
        <v>330</v>
      </c>
      <c r="Z40" s="99">
        <v>0</v>
      </c>
      <c r="AA40" s="99">
        <v>580</v>
      </c>
      <c r="AB40" s="99">
        <v>0</v>
      </c>
      <c r="AC40" s="99">
        <v>0</v>
      </c>
      <c r="AD40" s="99">
        <v>0</v>
      </c>
      <c r="AE40" s="99">
        <v>0</v>
      </c>
      <c r="AF40" s="99">
        <v>0</v>
      </c>
      <c r="AG40" s="99">
        <v>0</v>
      </c>
      <c r="AH40" s="99">
        <v>0</v>
      </c>
      <c r="AI40" s="99">
        <v>24</v>
      </c>
      <c r="AJ40" s="99">
        <v>0</v>
      </c>
      <c r="AK40" s="99">
        <v>0</v>
      </c>
      <c r="AL40" s="99">
        <v>0</v>
      </c>
      <c r="AM40" s="99">
        <v>0</v>
      </c>
      <c r="AN40" s="99">
        <v>0</v>
      </c>
      <c r="AO40" s="99">
        <v>0</v>
      </c>
      <c r="AP40" s="99">
        <v>0</v>
      </c>
      <c r="AQ40" s="99"/>
      <c r="AR40" s="99">
        <v>0</v>
      </c>
      <c r="AS40" s="99">
        <v>0</v>
      </c>
      <c r="AT40" s="99">
        <v>330</v>
      </c>
      <c r="AU40" s="99" t="s">
        <v>1345</v>
      </c>
      <c r="AV40" s="99">
        <v>6.6</v>
      </c>
      <c r="AW40" s="99" t="s">
        <v>528</v>
      </c>
      <c r="AX40" s="99" t="s">
        <v>1041</v>
      </c>
    </row>
    <row r="41" spans="1:50" ht="18" customHeight="1" x14ac:dyDescent="0.25">
      <c r="A41" s="349" t="s">
        <v>118</v>
      </c>
      <c r="B41" s="99" t="s">
        <v>119</v>
      </c>
      <c r="C41" s="99" t="s">
        <v>30</v>
      </c>
      <c r="D41" s="99" t="s">
        <v>30</v>
      </c>
      <c r="E41" s="350">
        <v>40794</v>
      </c>
      <c r="F41" s="99" t="s">
        <v>1429</v>
      </c>
      <c r="G41" s="590" t="s">
        <v>126</v>
      </c>
      <c r="H41" s="99">
        <v>240</v>
      </c>
      <c r="I41" s="351">
        <v>0.375</v>
      </c>
      <c r="J41" s="351">
        <v>0.70833333333333337</v>
      </c>
      <c r="K41" s="99" t="s">
        <v>1429</v>
      </c>
      <c r="L41" s="99" t="s">
        <v>1435</v>
      </c>
      <c r="M41" s="352">
        <v>43109</v>
      </c>
      <c r="N41" s="99" t="s">
        <v>1446</v>
      </c>
      <c r="O41" s="99"/>
      <c r="P41" s="99" t="s">
        <v>37</v>
      </c>
      <c r="Q41" s="99" t="s">
        <v>1429</v>
      </c>
      <c r="R41" s="99" t="s">
        <v>1494</v>
      </c>
      <c r="S41" s="99" t="s">
        <v>1453</v>
      </c>
      <c r="T41" s="99"/>
      <c r="U41" s="99" t="s">
        <v>36</v>
      </c>
      <c r="V41" s="99" t="s">
        <v>46</v>
      </c>
      <c r="W41" s="99" t="s">
        <v>32</v>
      </c>
      <c r="X41" s="99" t="s">
        <v>37</v>
      </c>
      <c r="Y41" s="99">
        <v>3099</v>
      </c>
      <c r="Z41" s="99">
        <v>1</v>
      </c>
      <c r="AA41" s="99">
        <v>580</v>
      </c>
      <c r="AB41" s="99">
        <v>0</v>
      </c>
      <c r="AC41" s="99">
        <v>1480</v>
      </c>
      <c r="AD41" s="99">
        <v>0</v>
      </c>
      <c r="AE41" s="99">
        <v>0</v>
      </c>
      <c r="AF41" s="99">
        <v>0</v>
      </c>
      <c r="AG41" s="99">
        <v>2003</v>
      </c>
      <c r="AH41" s="99">
        <v>10</v>
      </c>
      <c r="AI41" s="99">
        <v>24</v>
      </c>
      <c r="AJ41" s="99">
        <v>0</v>
      </c>
      <c r="AK41" s="99">
        <v>0</v>
      </c>
      <c r="AL41" s="99">
        <v>0</v>
      </c>
      <c r="AM41" s="99">
        <v>0</v>
      </c>
      <c r="AN41" s="99">
        <v>0</v>
      </c>
      <c r="AO41" s="99">
        <v>0</v>
      </c>
      <c r="AP41" s="99">
        <v>0</v>
      </c>
      <c r="AQ41" s="99" t="s">
        <v>47</v>
      </c>
      <c r="AR41" s="99">
        <v>1763</v>
      </c>
      <c r="AS41" s="99">
        <v>4063</v>
      </c>
      <c r="AT41" s="99">
        <v>-964</v>
      </c>
      <c r="AU41" s="99" t="s">
        <v>1345</v>
      </c>
      <c r="AV41" s="99">
        <v>61.98</v>
      </c>
      <c r="AW41" s="99" t="s">
        <v>530</v>
      </c>
      <c r="AX41" s="99" t="s">
        <v>1854</v>
      </c>
    </row>
    <row r="42" spans="1:50" ht="18" customHeight="1" x14ac:dyDescent="0.25">
      <c r="A42" s="349" t="s">
        <v>122</v>
      </c>
      <c r="B42" s="99" t="s">
        <v>123</v>
      </c>
      <c r="C42" s="99" t="s">
        <v>29</v>
      </c>
      <c r="D42" s="99" t="s">
        <v>45</v>
      </c>
      <c r="E42" s="350">
        <v>40238</v>
      </c>
      <c r="F42" s="99" t="s">
        <v>1429</v>
      </c>
      <c r="G42" s="590" t="s">
        <v>29</v>
      </c>
      <c r="H42" s="99">
        <v>0</v>
      </c>
      <c r="I42" s="351">
        <v>0.33333333333333331</v>
      </c>
      <c r="J42" s="351">
        <v>0.70833333333333337</v>
      </c>
      <c r="K42" s="99" t="s">
        <v>1429</v>
      </c>
      <c r="L42" s="99">
        <v>0</v>
      </c>
      <c r="M42" s="352">
        <v>43133</v>
      </c>
      <c r="N42" s="99"/>
      <c r="O42" s="99"/>
      <c r="P42" s="99" t="s">
        <v>37</v>
      </c>
      <c r="Q42" s="99" t="s">
        <v>1429</v>
      </c>
      <c r="R42" s="99" t="s">
        <v>1495</v>
      </c>
      <c r="S42" s="99" t="s">
        <v>1496</v>
      </c>
      <c r="T42" s="99"/>
      <c r="U42" s="99"/>
      <c r="V42" s="99" t="s">
        <v>31</v>
      </c>
      <c r="W42" s="99" t="s">
        <v>32</v>
      </c>
      <c r="X42" s="99" t="s">
        <v>37</v>
      </c>
      <c r="Y42" s="99">
        <v>275</v>
      </c>
      <c r="Z42" s="99">
        <v>0</v>
      </c>
      <c r="AA42" s="99">
        <v>580</v>
      </c>
      <c r="AB42" s="99">
        <v>0</v>
      </c>
      <c r="AC42" s="99">
        <v>0</v>
      </c>
      <c r="AD42" s="99">
        <v>0</v>
      </c>
      <c r="AE42" s="99">
        <v>0</v>
      </c>
      <c r="AF42" s="99">
        <v>50</v>
      </c>
      <c r="AG42" s="99">
        <v>240</v>
      </c>
      <c r="AH42" s="99">
        <v>10</v>
      </c>
      <c r="AI42" s="99">
        <v>24</v>
      </c>
      <c r="AJ42" s="99">
        <v>0</v>
      </c>
      <c r="AK42" s="99">
        <v>0</v>
      </c>
      <c r="AL42" s="99">
        <v>0</v>
      </c>
      <c r="AM42" s="99">
        <v>0</v>
      </c>
      <c r="AN42" s="99">
        <v>0</v>
      </c>
      <c r="AO42" s="99">
        <v>0</v>
      </c>
      <c r="AP42" s="99">
        <v>0</v>
      </c>
      <c r="AQ42" s="99"/>
      <c r="AR42" s="99">
        <v>0</v>
      </c>
      <c r="AS42" s="99">
        <v>290</v>
      </c>
      <c r="AT42" s="99">
        <v>-15</v>
      </c>
      <c r="AU42" s="99" t="s">
        <v>1345</v>
      </c>
      <c r="AV42" s="99">
        <v>5.5</v>
      </c>
      <c r="AW42" s="99" t="s">
        <v>530</v>
      </c>
      <c r="AX42" s="99" t="s">
        <v>1041</v>
      </c>
    </row>
    <row r="43" spans="1:50" ht="18" customHeight="1" x14ac:dyDescent="0.25">
      <c r="A43" s="349" t="s">
        <v>124</v>
      </c>
      <c r="B43" s="99" t="s">
        <v>125</v>
      </c>
      <c r="C43" s="99" t="s">
        <v>38</v>
      </c>
      <c r="D43" s="99" t="s">
        <v>38</v>
      </c>
      <c r="E43" s="350">
        <v>42370</v>
      </c>
      <c r="F43" s="99" t="s">
        <v>1429</v>
      </c>
      <c r="G43" s="590" t="s">
        <v>66</v>
      </c>
      <c r="H43" s="99">
        <v>240</v>
      </c>
      <c r="I43" s="351">
        <v>0.375</v>
      </c>
      <c r="J43" s="351">
        <v>0.70833333333333337</v>
      </c>
      <c r="K43" s="99" t="s">
        <v>1429</v>
      </c>
      <c r="L43" s="99" t="s">
        <v>1435</v>
      </c>
      <c r="M43" s="352">
        <v>43155</v>
      </c>
      <c r="N43" s="99" t="s">
        <v>1446</v>
      </c>
      <c r="O43" s="99"/>
      <c r="P43" s="99" t="s">
        <v>37</v>
      </c>
      <c r="Q43" s="99" t="s">
        <v>1429</v>
      </c>
      <c r="R43" s="99" t="s">
        <v>1497</v>
      </c>
      <c r="S43" s="99" t="s">
        <v>1444</v>
      </c>
      <c r="T43" s="350">
        <v>43100</v>
      </c>
      <c r="U43" s="99"/>
      <c r="V43" s="99" t="s">
        <v>46</v>
      </c>
      <c r="W43" s="99" t="s">
        <v>32</v>
      </c>
      <c r="X43" s="99" t="s">
        <v>37</v>
      </c>
      <c r="Y43" s="99">
        <v>9980</v>
      </c>
      <c r="Z43" s="99"/>
      <c r="AA43" s="99">
        <v>580</v>
      </c>
      <c r="AB43" s="99">
        <v>0</v>
      </c>
      <c r="AC43" s="99">
        <v>1480</v>
      </c>
      <c r="AD43" s="99">
        <v>0</v>
      </c>
      <c r="AE43" s="99">
        <v>0</v>
      </c>
      <c r="AF43" s="99">
        <v>0</v>
      </c>
      <c r="AG43" s="99">
        <v>2003</v>
      </c>
      <c r="AH43" s="99">
        <v>10</v>
      </c>
      <c r="AI43" s="99">
        <v>24</v>
      </c>
      <c r="AJ43" s="99">
        <v>0</v>
      </c>
      <c r="AK43" s="99">
        <v>0</v>
      </c>
      <c r="AL43" s="99">
        <v>0</v>
      </c>
      <c r="AM43" s="99">
        <v>0</v>
      </c>
      <c r="AN43" s="99">
        <v>0</v>
      </c>
      <c r="AO43" s="99">
        <v>0</v>
      </c>
      <c r="AP43" s="99">
        <v>0</v>
      </c>
      <c r="AQ43" s="99" t="s">
        <v>47</v>
      </c>
      <c r="AR43" s="99">
        <v>1763</v>
      </c>
      <c r="AS43" s="99">
        <v>3483</v>
      </c>
      <c r="AT43" s="99">
        <v>6497</v>
      </c>
      <c r="AU43" s="99" t="s">
        <v>1345</v>
      </c>
      <c r="AV43" s="99">
        <v>199.6</v>
      </c>
      <c r="AW43" s="99" t="s">
        <v>526</v>
      </c>
      <c r="AX43" s="99" t="s">
        <v>1856</v>
      </c>
    </row>
    <row r="44" spans="1:50" ht="18" customHeight="1" x14ac:dyDescent="0.25">
      <c r="A44" s="349" t="s">
        <v>127</v>
      </c>
      <c r="B44" s="99" t="s">
        <v>128</v>
      </c>
      <c r="C44" s="99" t="s">
        <v>29</v>
      </c>
      <c r="D44" s="99" t="s">
        <v>30</v>
      </c>
      <c r="E44" s="350">
        <v>40634</v>
      </c>
      <c r="F44" s="99" t="s">
        <v>37</v>
      </c>
      <c r="G44" s="590" t="s">
        <v>40</v>
      </c>
      <c r="H44" s="99">
        <v>240</v>
      </c>
      <c r="I44" s="351">
        <v>0.375</v>
      </c>
      <c r="J44" s="351">
        <v>0.70833333333333337</v>
      </c>
      <c r="K44" s="99" t="s">
        <v>1429</v>
      </c>
      <c r="L44" s="99" t="s">
        <v>1435</v>
      </c>
      <c r="M44" s="352">
        <v>43160</v>
      </c>
      <c r="N44" s="99" t="s">
        <v>1498</v>
      </c>
      <c r="O44" s="99"/>
      <c r="P44" s="99" t="s">
        <v>37</v>
      </c>
      <c r="Q44" s="99" t="s">
        <v>1429</v>
      </c>
      <c r="R44" s="99" t="s">
        <v>1499</v>
      </c>
      <c r="S44" s="99" t="s">
        <v>1444</v>
      </c>
      <c r="T44" s="99"/>
      <c r="U44" s="99"/>
      <c r="V44" s="99" t="s">
        <v>31</v>
      </c>
      <c r="W44" s="99" t="s">
        <v>32</v>
      </c>
      <c r="X44" s="99" t="s">
        <v>37</v>
      </c>
      <c r="Y44" s="99">
        <v>507</v>
      </c>
      <c r="Z44" s="99">
        <v>0</v>
      </c>
      <c r="AA44" s="99">
        <v>580</v>
      </c>
      <c r="AB44" s="99">
        <v>0</v>
      </c>
      <c r="AC44" s="99">
        <v>0</v>
      </c>
      <c r="AD44" s="99">
        <v>0</v>
      </c>
      <c r="AE44" s="99">
        <v>0</v>
      </c>
      <c r="AF44" s="99">
        <v>0</v>
      </c>
      <c r="AG44" s="99">
        <v>1811</v>
      </c>
      <c r="AH44" s="99">
        <v>2</v>
      </c>
      <c r="AI44" s="99">
        <v>24</v>
      </c>
      <c r="AJ44" s="99">
        <v>0</v>
      </c>
      <c r="AK44" s="99">
        <v>0</v>
      </c>
      <c r="AL44" s="99">
        <v>0</v>
      </c>
      <c r="AM44" s="99">
        <v>0</v>
      </c>
      <c r="AN44" s="99">
        <v>0</v>
      </c>
      <c r="AO44" s="99">
        <v>0</v>
      </c>
      <c r="AP44" s="99">
        <v>0</v>
      </c>
      <c r="AQ44" s="99"/>
      <c r="AR44" s="99">
        <v>1763</v>
      </c>
      <c r="AS44" s="99">
        <v>1811</v>
      </c>
      <c r="AT44" s="99">
        <v>-1304</v>
      </c>
      <c r="AU44" s="99" t="s">
        <v>1345</v>
      </c>
      <c r="AV44" s="99">
        <v>10.14</v>
      </c>
      <c r="AW44" s="99" t="s">
        <v>530</v>
      </c>
      <c r="AX44" s="99" t="s">
        <v>1044</v>
      </c>
    </row>
    <row r="45" spans="1:50" ht="18" customHeight="1" x14ac:dyDescent="0.25">
      <c r="A45" s="349" t="s">
        <v>131</v>
      </c>
      <c r="B45" s="99" t="s">
        <v>132</v>
      </c>
      <c r="C45" s="99" t="s">
        <v>30</v>
      </c>
      <c r="D45" s="99" t="s">
        <v>30</v>
      </c>
      <c r="E45" s="350">
        <v>40736</v>
      </c>
      <c r="F45" s="99" t="s">
        <v>37</v>
      </c>
      <c r="G45" s="590" t="s">
        <v>126</v>
      </c>
      <c r="H45" s="99">
        <v>240</v>
      </c>
      <c r="I45" s="351">
        <v>0.375</v>
      </c>
      <c r="J45" s="351">
        <v>0.70833333333333337</v>
      </c>
      <c r="K45" s="99" t="s">
        <v>1429</v>
      </c>
      <c r="L45" s="99" t="s">
        <v>1435</v>
      </c>
      <c r="M45" s="352">
        <v>43280</v>
      </c>
      <c r="N45" s="99" t="s">
        <v>1446</v>
      </c>
      <c r="O45" s="99"/>
      <c r="P45" s="99" t="s">
        <v>37</v>
      </c>
      <c r="Q45" s="99" t="s">
        <v>1429</v>
      </c>
      <c r="R45" s="99" t="s">
        <v>1500</v>
      </c>
      <c r="S45" s="99" t="s">
        <v>1453</v>
      </c>
      <c r="T45" s="99"/>
      <c r="U45" s="99" t="s">
        <v>36</v>
      </c>
      <c r="V45" s="99" t="s">
        <v>46</v>
      </c>
      <c r="W45" s="99" t="s">
        <v>32</v>
      </c>
      <c r="X45" s="99" t="s">
        <v>37</v>
      </c>
      <c r="Y45" s="99">
        <v>7300</v>
      </c>
      <c r="Z45" s="99">
        <v>1</v>
      </c>
      <c r="AA45" s="99">
        <v>580</v>
      </c>
      <c r="AB45" s="99">
        <v>0</v>
      </c>
      <c r="AC45" s="99">
        <v>1480</v>
      </c>
      <c r="AD45" s="99">
        <v>0</v>
      </c>
      <c r="AE45" s="99">
        <v>0</v>
      </c>
      <c r="AF45" s="99">
        <v>0</v>
      </c>
      <c r="AG45" s="99">
        <v>2243</v>
      </c>
      <c r="AH45" s="99">
        <v>20</v>
      </c>
      <c r="AI45" s="99">
        <v>24</v>
      </c>
      <c r="AJ45" s="99">
        <v>0</v>
      </c>
      <c r="AK45" s="99">
        <v>0</v>
      </c>
      <c r="AL45" s="99">
        <v>0</v>
      </c>
      <c r="AM45" s="99">
        <v>0</v>
      </c>
      <c r="AN45" s="99">
        <v>0</v>
      </c>
      <c r="AO45" s="99">
        <v>0</v>
      </c>
      <c r="AP45" s="99">
        <v>0</v>
      </c>
      <c r="AQ45" s="99" t="s">
        <v>47</v>
      </c>
      <c r="AR45" s="99">
        <v>1763</v>
      </c>
      <c r="AS45" s="99">
        <v>4303</v>
      </c>
      <c r="AT45" s="99">
        <v>2997</v>
      </c>
      <c r="AU45" s="99" t="s">
        <v>1345</v>
      </c>
      <c r="AV45" s="99">
        <v>146</v>
      </c>
      <c r="AW45" s="99" t="s">
        <v>527</v>
      </c>
      <c r="AX45" s="99" t="s">
        <v>1858</v>
      </c>
    </row>
    <row r="46" spans="1:50" ht="18" customHeight="1" x14ac:dyDescent="0.25">
      <c r="A46" s="349" t="s">
        <v>133</v>
      </c>
      <c r="B46" s="99" t="s">
        <v>134</v>
      </c>
      <c r="C46" s="99" t="s">
        <v>44</v>
      </c>
      <c r="D46" s="99" t="s">
        <v>30</v>
      </c>
      <c r="E46" s="350">
        <v>40794</v>
      </c>
      <c r="F46" s="99" t="s">
        <v>1429</v>
      </c>
      <c r="G46" s="590" t="s">
        <v>44</v>
      </c>
      <c r="H46" s="99">
        <v>120</v>
      </c>
      <c r="I46" s="351">
        <v>0.375</v>
      </c>
      <c r="J46" s="351">
        <v>0.70833333333333337</v>
      </c>
      <c r="K46" s="99" t="s">
        <v>1429</v>
      </c>
      <c r="L46" s="99" t="s">
        <v>1435</v>
      </c>
      <c r="M46" s="352">
        <v>43106</v>
      </c>
      <c r="N46" s="99" t="s">
        <v>1501</v>
      </c>
      <c r="O46" s="99"/>
      <c r="P46" s="99" t="s">
        <v>37</v>
      </c>
      <c r="Q46" s="99" t="s">
        <v>1429</v>
      </c>
      <c r="R46" s="99" t="s">
        <v>1502</v>
      </c>
      <c r="S46" s="99" t="s">
        <v>1444</v>
      </c>
      <c r="T46" s="99"/>
      <c r="U46" s="99" t="s">
        <v>36</v>
      </c>
      <c r="V46" s="99" t="s">
        <v>46</v>
      </c>
      <c r="W46" s="99" t="s">
        <v>32</v>
      </c>
      <c r="X46" s="99" t="s">
        <v>37</v>
      </c>
      <c r="Y46" s="99">
        <v>2500</v>
      </c>
      <c r="Z46" s="99">
        <v>0</v>
      </c>
      <c r="AA46" s="99">
        <v>580</v>
      </c>
      <c r="AB46" s="99">
        <v>0</v>
      </c>
      <c r="AC46" s="99">
        <v>1480</v>
      </c>
      <c r="AD46" s="99">
        <v>0</v>
      </c>
      <c r="AE46" s="99">
        <v>0</v>
      </c>
      <c r="AF46" s="99">
        <v>0</v>
      </c>
      <c r="AG46" s="99">
        <v>2003</v>
      </c>
      <c r="AH46" s="99">
        <v>10</v>
      </c>
      <c r="AI46" s="99">
        <v>24</v>
      </c>
      <c r="AJ46" s="99">
        <v>0</v>
      </c>
      <c r="AK46" s="99">
        <v>0</v>
      </c>
      <c r="AL46" s="99">
        <v>0</v>
      </c>
      <c r="AM46" s="99">
        <v>0</v>
      </c>
      <c r="AN46" s="99">
        <v>0</v>
      </c>
      <c r="AO46" s="99">
        <v>0</v>
      </c>
      <c r="AP46" s="99">
        <v>0</v>
      </c>
      <c r="AQ46" s="99" t="s">
        <v>47</v>
      </c>
      <c r="AR46" s="99">
        <v>1763</v>
      </c>
      <c r="AS46" s="99">
        <v>3483</v>
      </c>
      <c r="AT46" s="99">
        <v>-983</v>
      </c>
      <c r="AU46" s="99" t="s">
        <v>1345</v>
      </c>
      <c r="AV46" s="99">
        <v>50</v>
      </c>
      <c r="AW46" s="99" t="s">
        <v>530</v>
      </c>
      <c r="AX46" s="99" t="s">
        <v>1838</v>
      </c>
    </row>
    <row r="47" spans="1:50" ht="18" customHeight="1" x14ac:dyDescent="0.25">
      <c r="A47" s="349" t="s">
        <v>135</v>
      </c>
      <c r="B47" s="99" t="s">
        <v>136</v>
      </c>
      <c r="C47" s="99" t="s">
        <v>30</v>
      </c>
      <c r="D47" s="99" t="s">
        <v>30</v>
      </c>
      <c r="E47" s="350">
        <v>41030</v>
      </c>
      <c r="F47" s="99" t="s">
        <v>1429</v>
      </c>
      <c r="G47" s="590" t="s">
        <v>126</v>
      </c>
      <c r="H47" s="99">
        <v>240</v>
      </c>
      <c r="I47" s="351">
        <v>0.375</v>
      </c>
      <c r="J47" s="351">
        <v>0.70833333333333337</v>
      </c>
      <c r="K47" s="99" t="s">
        <v>1429</v>
      </c>
      <c r="L47" s="99" t="s">
        <v>1435</v>
      </c>
      <c r="M47" s="99" t="s">
        <v>1503</v>
      </c>
      <c r="N47" s="99" t="s">
        <v>1446</v>
      </c>
      <c r="O47" s="99"/>
      <c r="P47" s="99" t="s">
        <v>37</v>
      </c>
      <c r="Q47" s="99" t="s">
        <v>1429</v>
      </c>
      <c r="R47" s="99" t="s">
        <v>1504</v>
      </c>
      <c r="S47" s="99" t="s">
        <v>1496</v>
      </c>
      <c r="T47" s="99"/>
      <c r="U47" s="99"/>
      <c r="V47" s="99" t="s">
        <v>46</v>
      </c>
      <c r="W47" s="99" t="s">
        <v>32</v>
      </c>
      <c r="X47" s="99" t="s">
        <v>37</v>
      </c>
      <c r="Y47" s="99">
        <v>6250</v>
      </c>
      <c r="Z47" s="99">
        <v>1</v>
      </c>
      <c r="AA47" s="99">
        <v>580</v>
      </c>
      <c r="AB47" s="99">
        <v>0</v>
      </c>
      <c r="AC47" s="99">
        <v>1480</v>
      </c>
      <c r="AD47" s="99">
        <v>0</v>
      </c>
      <c r="AE47" s="99">
        <v>0</v>
      </c>
      <c r="AF47" s="99">
        <v>0</v>
      </c>
      <c r="AG47" s="99">
        <v>2003</v>
      </c>
      <c r="AH47" s="99">
        <v>10</v>
      </c>
      <c r="AI47" s="99">
        <v>24</v>
      </c>
      <c r="AJ47" s="99">
        <v>0</v>
      </c>
      <c r="AK47" s="99">
        <v>0</v>
      </c>
      <c r="AL47" s="99">
        <v>0</v>
      </c>
      <c r="AM47" s="99">
        <v>0</v>
      </c>
      <c r="AN47" s="99">
        <v>0</v>
      </c>
      <c r="AO47" s="99">
        <v>0</v>
      </c>
      <c r="AP47" s="99">
        <v>0</v>
      </c>
      <c r="AQ47" s="99" t="s">
        <v>47</v>
      </c>
      <c r="AR47" s="99">
        <v>1763</v>
      </c>
      <c r="AS47" s="99">
        <v>4063</v>
      </c>
      <c r="AT47" s="99">
        <v>2187</v>
      </c>
      <c r="AU47" s="99" t="s">
        <v>1345</v>
      </c>
      <c r="AV47" s="99">
        <v>125</v>
      </c>
      <c r="AW47" s="99" t="s">
        <v>527</v>
      </c>
      <c r="AX47" s="99" t="s">
        <v>1838</v>
      </c>
    </row>
    <row r="48" spans="1:50" ht="18" customHeight="1" x14ac:dyDescent="0.25">
      <c r="A48" s="349" t="s">
        <v>137</v>
      </c>
      <c r="B48" s="99" t="s">
        <v>138</v>
      </c>
      <c r="C48" s="99" t="s">
        <v>139</v>
      </c>
      <c r="D48" s="99" t="s">
        <v>45</v>
      </c>
      <c r="E48" s="350">
        <v>39105</v>
      </c>
      <c r="F48" s="99" t="s">
        <v>1429</v>
      </c>
      <c r="G48" s="590" t="s">
        <v>139</v>
      </c>
      <c r="H48" s="99">
        <v>0</v>
      </c>
      <c r="I48" s="99"/>
      <c r="J48" s="99"/>
      <c r="K48" s="99" t="s">
        <v>1429</v>
      </c>
      <c r="L48" s="99" t="s">
        <v>1435</v>
      </c>
      <c r="M48" s="352">
        <v>43224</v>
      </c>
      <c r="N48" s="99"/>
      <c r="O48" s="99"/>
      <c r="P48" s="99" t="s">
        <v>37</v>
      </c>
      <c r="Q48" s="99" t="s">
        <v>1429</v>
      </c>
      <c r="R48" s="99" t="s">
        <v>1788</v>
      </c>
      <c r="S48" s="99" t="s">
        <v>1453</v>
      </c>
      <c r="T48" s="99"/>
      <c r="U48" s="99" t="s">
        <v>36</v>
      </c>
      <c r="V48" s="99" t="s">
        <v>39</v>
      </c>
      <c r="W48" s="99" t="s">
        <v>32</v>
      </c>
      <c r="X48" s="99" t="s">
        <v>37</v>
      </c>
      <c r="Y48" s="99">
        <v>6100</v>
      </c>
      <c r="Z48" s="99">
        <v>2</v>
      </c>
      <c r="AA48" s="99">
        <v>580</v>
      </c>
      <c r="AB48" s="99">
        <v>0</v>
      </c>
      <c r="AC48" s="99">
        <v>0</v>
      </c>
      <c r="AD48" s="99">
        <v>0</v>
      </c>
      <c r="AE48" s="99">
        <v>0</v>
      </c>
      <c r="AF48" s="99">
        <v>0</v>
      </c>
      <c r="AG48" s="99" t="s">
        <v>783</v>
      </c>
      <c r="AH48" s="99" t="s">
        <v>140</v>
      </c>
      <c r="AI48" s="99">
        <v>24</v>
      </c>
      <c r="AJ48" s="99">
        <v>0</v>
      </c>
      <c r="AK48" s="99">
        <v>0</v>
      </c>
      <c r="AL48" s="99">
        <v>0</v>
      </c>
      <c r="AM48" s="99">
        <v>0</v>
      </c>
      <c r="AN48" s="99">
        <v>0</v>
      </c>
      <c r="AO48" s="99">
        <v>0</v>
      </c>
      <c r="AP48" s="99">
        <v>0</v>
      </c>
      <c r="AQ48" s="99"/>
      <c r="AR48" s="99">
        <v>1763</v>
      </c>
      <c r="AS48" s="99">
        <v>2925.4</v>
      </c>
      <c r="AT48" s="99">
        <v>3174.6</v>
      </c>
      <c r="AU48" s="99" t="s">
        <v>1345</v>
      </c>
      <c r="AV48" s="99">
        <v>122</v>
      </c>
      <c r="AW48" s="99" t="s">
        <v>527</v>
      </c>
      <c r="AX48" s="99" t="s">
        <v>1042</v>
      </c>
    </row>
    <row r="49" spans="1:50" ht="18" customHeight="1" x14ac:dyDescent="0.25">
      <c r="A49" s="349" t="s">
        <v>141</v>
      </c>
      <c r="B49" s="99" t="s">
        <v>142</v>
      </c>
      <c r="C49" s="99" t="s">
        <v>55</v>
      </c>
      <c r="D49" s="99" t="s">
        <v>30</v>
      </c>
      <c r="E49" s="350">
        <v>42736</v>
      </c>
      <c r="F49" s="99" t="s">
        <v>1429</v>
      </c>
      <c r="G49" s="590" t="s">
        <v>55</v>
      </c>
      <c r="H49" s="99">
        <v>120</v>
      </c>
      <c r="I49" s="351">
        <v>0.375</v>
      </c>
      <c r="J49" s="351">
        <v>0.70833333333333337</v>
      </c>
      <c r="K49" s="99" t="s">
        <v>1429</v>
      </c>
      <c r="L49" s="99">
        <v>0</v>
      </c>
      <c r="M49" s="99" t="s">
        <v>140</v>
      </c>
      <c r="N49" s="99" t="s">
        <v>1859</v>
      </c>
      <c r="O49" s="99"/>
      <c r="P49" s="99" t="s">
        <v>37</v>
      </c>
      <c r="Q49" s="99" t="s">
        <v>1429</v>
      </c>
      <c r="R49" s="99" t="s">
        <v>1505</v>
      </c>
      <c r="S49" s="99" t="s">
        <v>1444</v>
      </c>
      <c r="T49" s="99"/>
      <c r="U49" s="99"/>
      <c r="V49" s="99"/>
      <c r="W49" s="99" t="s">
        <v>32</v>
      </c>
      <c r="X49" s="99" t="s">
        <v>37</v>
      </c>
      <c r="Y49" s="99">
        <v>250</v>
      </c>
      <c r="Z49" s="99">
        <v>1</v>
      </c>
      <c r="AA49" s="99">
        <v>580</v>
      </c>
      <c r="AB49" s="99">
        <v>0</v>
      </c>
      <c r="AC49" s="99">
        <v>0</v>
      </c>
      <c r="AD49" s="99">
        <v>0</v>
      </c>
      <c r="AE49" s="99">
        <v>0</v>
      </c>
      <c r="AF49" s="99">
        <v>0</v>
      </c>
      <c r="AG49" s="99">
        <v>48</v>
      </c>
      <c r="AH49" s="99">
        <v>2</v>
      </c>
      <c r="AI49" s="99">
        <v>24</v>
      </c>
      <c r="AJ49" s="99">
        <v>0</v>
      </c>
      <c r="AK49" s="99">
        <v>0</v>
      </c>
      <c r="AL49" s="99">
        <v>0</v>
      </c>
      <c r="AM49" s="99">
        <v>0</v>
      </c>
      <c r="AN49" s="99">
        <v>0</v>
      </c>
      <c r="AO49" s="99">
        <v>0</v>
      </c>
      <c r="AP49" s="99">
        <v>0</v>
      </c>
      <c r="AQ49" s="99"/>
      <c r="AR49" s="99">
        <v>0</v>
      </c>
      <c r="AS49" s="99">
        <v>628</v>
      </c>
      <c r="AT49" s="99">
        <v>-378</v>
      </c>
      <c r="AU49" s="99" t="s">
        <v>1345</v>
      </c>
      <c r="AV49" s="99">
        <v>5</v>
      </c>
      <c r="AW49" s="99" t="s">
        <v>528</v>
      </c>
      <c r="AX49" s="99" t="s">
        <v>1860</v>
      </c>
    </row>
    <row r="50" spans="1:50" ht="18" customHeight="1" x14ac:dyDescent="0.25">
      <c r="A50" s="349" t="s">
        <v>143</v>
      </c>
      <c r="B50" s="99" t="s">
        <v>144</v>
      </c>
      <c r="C50" s="99" t="s">
        <v>56</v>
      </c>
      <c r="D50" s="99" t="s">
        <v>56</v>
      </c>
      <c r="E50" s="350">
        <v>41815</v>
      </c>
      <c r="F50" s="99" t="s">
        <v>1429</v>
      </c>
      <c r="G50" s="590" t="s">
        <v>272</v>
      </c>
      <c r="H50" s="99">
        <v>240</v>
      </c>
      <c r="I50" s="351">
        <v>0.375</v>
      </c>
      <c r="J50" s="351">
        <v>0.70833333333333337</v>
      </c>
      <c r="K50" s="99" t="s">
        <v>1429</v>
      </c>
      <c r="L50" s="99" t="s">
        <v>1435</v>
      </c>
      <c r="M50" s="352">
        <v>43344</v>
      </c>
      <c r="N50" s="99" t="s">
        <v>1506</v>
      </c>
      <c r="O50" s="99"/>
      <c r="P50" s="99" t="s">
        <v>37</v>
      </c>
      <c r="Q50" s="99" t="s">
        <v>1429</v>
      </c>
      <c r="R50" s="99" t="s">
        <v>1507</v>
      </c>
      <c r="S50" s="99" t="s">
        <v>1444</v>
      </c>
      <c r="T50" s="99"/>
      <c r="U50" s="99"/>
      <c r="V50" s="99" t="s">
        <v>46</v>
      </c>
      <c r="W50" s="99" t="s">
        <v>32</v>
      </c>
      <c r="X50" s="99" t="s">
        <v>37</v>
      </c>
      <c r="Y50" s="99">
        <v>5000</v>
      </c>
      <c r="Z50" s="99">
        <v>1</v>
      </c>
      <c r="AA50" s="99">
        <v>580</v>
      </c>
      <c r="AB50" s="99">
        <v>0</v>
      </c>
      <c r="AC50" s="99">
        <v>1480</v>
      </c>
      <c r="AD50" s="99">
        <v>0</v>
      </c>
      <c r="AE50" s="99">
        <v>0</v>
      </c>
      <c r="AF50" s="99">
        <v>0</v>
      </c>
      <c r="AG50" s="99">
        <v>2003</v>
      </c>
      <c r="AH50" s="99">
        <v>10</v>
      </c>
      <c r="AI50" s="99">
        <v>24</v>
      </c>
      <c r="AJ50" s="99">
        <v>0</v>
      </c>
      <c r="AK50" s="99">
        <v>0</v>
      </c>
      <c r="AL50" s="99">
        <v>0</v>
      </c>
      <c r="AM50" s="99">
        <v>0</v>
      </c>
      <c r="AN50" s="99">
        <v>0</v>
      </c>
      <c r="AO50" s="99">
        <v>0</v>
      </c>
      <c r="AP50" s="99">
        <v>0</v>
      </c>
      <c r="AQ50" s="99" t="s">
        <v>47</v>
      </c>
      <c r="AR50" s="99">
        <v>1763</v>
      </c>
      <c r="AS50" s="99">
        <v>4063</v>
      </c>
      <c r="AT50" s="99">
        <v>937</v>
      </c>
      <c r="AU50" s="99" t="s">
        <v>1345</v>
      </c>
      <c r="AV50" s="99">
        <v>100</v>
      </c>
      <c r="AW50" s="99" t="s">
        <v>528</v>
      </c>
      <c r="AX50" s="99" t="s">
        <v>1854</v>
      </c>
    </row>
    <row r="51" spans="1:50" ht="18" customHeight="1" x14ac:dyDescent="0.25">
      <c r="A51" s="349" t="s">
        <v>631</v>
      </c>
      <c r="B51" s="99" t="s">
        <v>632</v>
      </c>
      <c r="C51" s="99" t="s">
        <v>35</v>
      </c>
      <c r="D51" s="99" t="s">
        <v>35</v>
      </c>
      <c r="E51" s="350">
        <v>42509</v>
      </c>
      <c r="F51" s="99" t="s">
        <v>37</v>
      </c>
      <c r="G51" s="590" t="s">
        <v>66</v>
      </c>
      <c r="H51" s="99">
        <v>240</v>
      </c>
      <c r="I51" s="351">
        <v>0.375</v>
      </c>
      <c r="J51" s="351">
        <v>0.70833333333333337</v>
      </c>
      <c r="K51" s="99" t="s">
        <v>1429</v>
      </c>
      <c r="L51" s="99" t="s">
        <v>1435</v>
      </c>
      <c r="M51" s="99">
        <v>4</v>
      </c>
      <c r="N51" s="99" t="s">
        <v>1446</v>
      </c>
      <c r="O51" s="99"/>
      <c r="P51" s="99" t="s">
        <v>37</v>
      </c>
      <c r="Q51" s="99" t="s">
        <v>1429</v>
      </c>
      <c r="R51" s="99" t="s">
        <v>1508</v>
      </c>
      <c r="S51" s="99" t="s">
        <v>1444</v>
      </c>
      <c r="T51" s="99"/>
      <c r="U51" s="99"/>
      <c r="V51" s="99" t="s">
        <v>46</v>
      </c>
      <c r="W51" s="99" t="s">
        <v>32</v>
      </c>
      <c r="X51" s="99" t="s">
        <v>37</v>
      </c>
      <c r="Y51" s="99">
        <v>600</v>
      </c>
      <c r="Z51" s="99">
        <v>0</v>
      </c>
      <c r="AA51" s="99">
        <v>580</v>
      </c>
      <c r="AB51" s="99">
        <v>0</v>
      </c>
      <c r="AC51" s="99">
        <v>1480</v>
      </c>
      <c r="AD51" s="99">
        <v>0</v>
      </c>
      <c r="AE51" s="99">
        <v>0</v>
      </c>
      <c r="AF51" s="99">
        <v>0</v>
      </c>
      <c r="AG51" s="99">
        <v>2003</v>
      </c>
      <c r="AH51" s="99">
        <v>10</v>
      </c>
      <c r="AI51" s="99">
        <v>24</v>
      </c>
      <c r="AJ51" s="99">
        <v>0</v>
      </c>
      <c r="AK51" s="99">
        <v>0</v>
      </c>
      <c r="AL51" s="99">
        <v>0</v>
      </c>
      <c r="AM51" s="99">
        <v>0</v>
      </c>
      <c r="AN51" s="99">
        <v>0</v>
      </c>
      <c r="AO51" s="99">
        <v>0</v>
      </c>
      <c r="AP51" s="99">
        <v>0</v>
      </c>
      <c r="AQ51" s="99" t="s">
        <v>576</v>
      </c>
      <c r="AR51" s="99">
        <v>1763</v>
      </c>
      <c r="AS51" s="99">
        <v>3483</v>
      </c>
      <c r="AT51" s="99">
        <v>-2883</v>
      </c>
      <c r="AU51" s="99" t="s">
        <v>1345</v>
      </c>
      <c r="AV51" s="99">
        <v>12</v>
      </c>
      <c r="AW51" s="99" t="s">
        <v>530</v>
      </c>
      <c r="AX51" s="99" t="s">
        <v>1424</v>
      </c>
    </row>
    <row r="52" spans="1:50" ht="18" customHeight="1" x14ac:dyDescent="0.25">
      <c r="A52" s="349" t="s">
        <v>145</v>
      </c>
      <c r="B52" s="99" t="s">
        <v>146</v>
      </c>
      <c r="C52" s="99" t="s">
        <v>56</v>
      </c>
      <c r="D52" s="99" t="s">
        <v>56</v>
      </c>
      <c r="E52" s="350">
        <v>41518</v>
      </c>
      <c r="F52" s="99" t="s">
        <v>37</v>
      </c>
      <c r="G52" s="590" t="s">
        <v>44</v>
      </c>
      <c r="H52" s="99">
        <v>240</v>
      </c>
      <c r="I52" s="351">
        <v>0.375</v>
      </c>
      <c r="J52" s="351">
        <v>0.70833333333333337</v>
      </c>
      <c r="K52" s="99" t="s">
        <v>1429</v>
      </c>
      <c r="L52" s="99" t="s">
        <v>1435</v>
      </c>
      <c r="M52" s="352">
        <v>43266</v>
      </c>
      <c r="N52" s="99" t="s">
        <v>1446</v>
      </c>
      <c r="O52" s="99"/>
      <c r="P52" s="99" t="s">
        <v>37</v>
      </c>
      <c r="Q52" s="99" t="s">
        <v>1429</v>
      </c>
      <c r="R52" s="99" t="s">
        <v>1509</v>
      </c>
      <c r="S52" s="99" t="s">
        <v>1444</v>
      </c>
      <c r="T52" s="99"/>
      <c r="U52" s="99"/>
      <c r="V52" s="99" t="s">
        <v>46</v>
      </c>
      <c r="W52" s="99" t="s">
        <v>32</v>
      </c>
      <c r="X52" s="99" t="s">
        <v>37</v>
      </c>
      <c r="Y52" s="99">
        <v>5000</v>
      </c>
      <c r="Z52" s="99">
        <v>1</v>
      </c>
      <c r="AA52" s="99">
        <v>580</v>
      </c>
      <c r="AB52" s="99">
        <v>0</v>
      </c>
      <c r="AC52" s="99">
        <v>1480</v>
      </c>
      <c r="AD52" s="99">
        <v>0</v>
      </c>
      <c r="AE52" s="99">
        <v>0</v>
      </c>
      <c r="AF52" s="99">
        <v>0</v>
      </c>
      <c r="AG52" s="99">
        <v>2003</v>
      </c>
      <c r="AH52" s="99">
        <v>10</v>
      </c>
      <c r="AI52" s="99">
        <v>24</v>
      </c>
      <c r="AJ52" s="99">
        <v>0</v>
      </c>
      <c r="AK52" s="99">
        <v>0</v>
      </c>
      <c r="AL52" s="99">
        <v>0</v>
      </c>
      <c r="AM52" s="99">
        <v>0</v>
      </c>
      <c r="AN52" s="99">
        <v>0</v>
      </c>
      <c r="AO52" s="99">
        <v>0</v>
      </c>
      <c r="AP52" s="99">
        <v>0</v>
      </c>
      <c r="AQ52" s="99" t="s">
        <v>47</v>
      </c>
      <c r="AR52" s="99">
        <v>1763</v>
      </c>
      <c r="AS52" s="99">
        <v>4063</v>
      </c>
      <c r="AT52" s="99">
        <v>937</v>
      </c>
      <c r="AU52" s="99" t="s">
        <v>1345</v>
      </c>
      <c r="AV52" s="99">
        <v>100</v>
      </c>
      <c r="AW52" s="99" t="s">
        <v>528</v>
      </c>
      <c r="AX52" s="99" t="s">
        <v>1855</v>
      </c>
    </row>
    <row r="53" spans="1:50" ht="18" customHeight="1" x14ac:dyDescent="0.25">
      <c r="A53" s="349" t="s">
        <v>147</v>
      </c>
      <c r="B53" s="99" t="s">
        <v>148</v>
      </c>
      <c r="C53" s="99" t="s">
        <v>44</v>
      </c>
      <c r="D53" s="99" t="s">
        <v>35</v>
      </c>
      <c r="E53" s="350">
        <v>41760</v>
      </c>
      <c r="F53" s="99" t="s">
        <v>1429</v>
      </c>
      <c r="G53" s="590"/>
      <c r="H53" s="99"/>
      <c r="I53" s="99"/>
      <c r="J53" s="99"/>
      <c r="K53" s="99" t="s">
        <v>1429</v>
      </c>
      <c r="L53" s="99"/>
      <c r="M53" s="99"/>
      <c r="N53" s="99"/>
      <c r="O53" s="99"/>
      <c r="P53" s="99" t="s">
        <v>37</v>
      </c>
      <c r="Q53" s="99" t="s">
        <v>1429</v>
      </c>
      <c r="R53" s="99"/>
      <c r="S53" s="99"/>
      <c r="T53" s="99"/>
      <c r="U53" s="99"/>
      <c r="V53" s="99" t="s">
        <v>46</v>
      </c>
      <c r="W53" s="99" t="s">
        <v>32</v>
      </c>
      <c r="X53" s="99" t="s">
        <v>37</v>
      </c>
      <c r="Y53" s="99">
        <v>200</v>
      </c>
      <c r="Z53" s="99">
        <v>0</v>
      </c>
      <c r="AA53" s="99">
        <v>580</v>
      </c>
      <c r="AB53" s="99">
        <v>0</v>
      </c>
      <c r="AC53" s="99">
        <v>800</v>
      </c>
      <c r="AD53" s="99">
        <v>0</v>
      </c>
      <c r="AE53" s="99">
        <v>0</v>
      </c>
      <c r="AF53" s="99">
        <v>0</v>
      </c>
      <c r="AG53" s="99">
        <v>1040</v>
      </c>
      <c r="AH53" s="99">
        <v>10</v>
      </c>
      <c r="AI53" s="99">
        <v>24</v>
      </c>
      <c r="AJ53" s="99">
        <v>0</v>
      </c>
      <c r="AK53" s="99">
        <v>0</v>
      </c>
      <c r="AL53" s="99">
        <v>0</v>
      </c>
      <c r="AM53" s="99">
        <v>0</v>
      </c>
      <c r="AN53" s="99">
        <v>0</v>
      </c>
      <c r="AO53" s="99">
        <v>0</v>
      </c>
      <c r="AP53" s="99">
        <v>0</v>
      </c>
      <c r="AQ53" s="99" t="s">
        <v>47</v>
      </c>
      <c r="AR53" s="99">
        <v>800</v>
      </c>
      <c r="AS53" s="99">
        <v>1840</v>
      </c>
      <c r="AT53" s="99">
        <v>-1640</v>
      </c>
      <c r="AU53" s="99" t="s">
        <v>1345</v>
      </c>
      <c r="AV53" s="99">
        <v>4</v>
      </c>
      <c r="AW53" s="99" t="s">
        <v>673</v>
      </c>
      <c r="AX53" s="99"/>
    </row>
    <row r="54" spans="1:50" ht="18" customHeight="1" x14ac:dyDescent="0.25">
      <c r="A54" s="349" t="s">
        <v>149</v>
      </c>
      <c r="B54" s="99" t="s">
        <v>150</v>
      </c>
      <c r="C54" s="99" t="s">
        <v>35</v>
      </c>
      <c r="D54" s="99" t="s">
        <v>35</v>
      </c>
      <c r="E54" s="350">
        <v>41852</v>
      </c>
      <c r="F54" s="99" t="s">
        <v>37</v>
      </c>
      <c r="G54" s="590" t="s">
        <v>29</v>
      </c>
      <c r="H54" s="99">
        <v>120</v>
      </c>
      <c r="I54" s="351">
        <v>0.375</v>
      </c>
      <c r="J54" s="351">
        <v>0.70833333333333337</v>
      </c>
      <c r="K54" s="99" t="s">
        <v>1429</v>
      </c>
      <c r="L54" s="99" t="s">
        <v>1435</v>
      </c>
      <c r="M54" s="99">
        <v>0</v>
      </c>
      <c r="N54" s="99" t="s">
        <v>1450</v>
      </c>
      <c r="O54" s="99"/>
      <c r="P54" s="99" t="s">
        <v>37</v>
      </c>
      <c r="Q54" s="99" t="s">
        <v>1429</v>
      </c>
      <c r="R54" s="99"/>
      <c r="S54" s="99" t="s">
        <v>1453</v>
      </c>
      <c r="T54" s="99"/>
      <c r="U54" s="99"/>
      <c r="V54" s="99" t="s">
        <v>31</v>
      </c>
      <c r="W54" s="99" t="s">
        <v>32</v>
      </c>
      <c r="X54" s="99" t="s">
        <v>37</v>
      </c>
      <c r="Y54" s="99">
        <v>3360</v>
      </c>
      <c r="Z54" s="99">
        <v>1</v>
      </c>
      <c r="AA54" s="99">
        <v>580</v>
      </c>
      <c r="AB54" s="99">
        <v>0</v>
      </c>
      <c r="AC54" s="99">
        <v>0</v>
      </c>
      <c r="AD54" s="99">
        <v>0</v>
      </c>
      <c r="AE54" s="99">
        <v>0</v>
      </c>
      <c r="AF54" s="99">
        <v>0</v>
      </c>
      <c r="AG54" s="99">
        <v>2483</v>
      </c>
      <c r="AH54" s="99">
        <v>30</v>
      </c>
      <c r="AI54" s="99">
        <v>24</v>
      </c>
      <c r="AJ54" s="99">
        <v>0</v>
      </c>
      <c r="AK54" s="99">
        <v>0</v>
      </c>
      <c r="AL54" s="99">
        <v>0</v>
      </c>
      <c r="AM54" s="99">
        <v>0</v>
      </c>
      <c r="AN54" s="99">
        <v>0</v>
      </c>
      <c r="AO54" s="99">
        <v>0</v>
      </c>
      <c r="AP54" s="99">
        <v>0</v>
      </c>
      <c r="AQ54" s="99"/>
      <c r="AR54" s="99">
        <v>1763</v>
      </c>
      <c r="AS54" s="99">
        <v>3063</v>
      </c>
      <c r="AT54" s="99">
        <v>297</v>
      </c>
      <c r="AU54" s="99" t="s">
        <v>1345</v>
      </c>
      <c r="AV54" s="99">
        <v>67.2</v>
      </c>
      <c r="AW54" s="99" t="s">
        <v>528</v>
      </c>
      <c r="AX54" s="99" t="s">
        <v>1860</v>
      </c>
    </row>
    <row r="55" spans="1:50" ht="18" customHeight="1" x14ac:dyDescent="0.25">
      <c r="A55" s="349" t="s">
        <v>151</v>
      </c>
      <c r="B55" s="99" t="s">
        <v>152</v>
      </c>
      <c r="C55" s="99" t="s">
        <v>44</v>
      </c>
      <c r="D55" s="99" t="s">
        <v>35</v>
      </c>
      <c r="E55" s="350">
        <v>41548</v>
      </c>
      <c r="F55" s="99" t="s">
        <v>1429</v>
      </c>
      <c r="G55" s="590"/>
      <c r="H55" s="99"/>
      <c r="I55" s="99"/>
      <c r="J55" s="99"/>
      <c r="K55" s="99" t="s">
        <v>1429</v>
      </c>
      <c r="L55" s="99"/>
      <c r="M55" s="99"/>
      <c r="N55" s="99"/>
      <c r="O55" s="99"/>
      <c r="P55" s="99" t="s">
        <v>37</v>
      </c>
      <c r="Q55" s="99" t="s">
        <v>1429</v>
      </c>
      <c r="R55" s="99"/>
      <c r="S55" s="99"/>
      <c r="T55" s="99"/>
      <c r="U55" s="99"/>
      <c r="V55" s="99" t="s">
        <v>46</v>
      </c>
      <c r="W55" s="99" t="s">
        <v>32</v>
      </c>
      <c r="X55" s="99" t="s">
        <v>37</v>
      </c>
      <c r="Y55" s="99">
        <v>200</v>
      </c>
      <c r="Z55" s="99"/>
      <c r="AA55" s="99">
        <v>580</v>
      </c>
      <c r="AB55" s="99">
        <v>0</v>
      </c>
      <c r="AC55" s="99">
        <v>0</v>
      </c>
      <c r="AD55" s="99">
        <v>0</v>
      </c>
      <c r="AE55" s="99">
        <v>0</v>
      </c>
      <c r="AF55" s="99">
        <v>0</v>
      </c>
      <c r="AG55" s="99">
        <v>240</v>
      </c>
      <c r="AH55" s="99">
        <v>10</v>
      </c>
      <c r="AI55" s="99">
        <v>24</v>
      </c>
      <c r="AJ55" s="99">
        <v>0</v>
      </c>
      <c r="AK55" s="99">
        <v>0</v>
      </c>
      <c r="AL55" s="99">
        <v>0</v>
      </c>
      <c r="AM55" s="99">
        <v>0</v>
      </c>
      <c r="AN55" s="99">
        <v>0</v>
      </c>
      <c r="AO55" s="99">
        <v>0</v>
      </c>
      <c r="AP55" s="99">
        <v>0</v>
      </c>
      <c r="AQ55" s="99"/>
      <c r="AR55" s="99">
        <v>0</v>
      </c>
      <c r="AS55" s="99">
        <v>240</v>
      </c>
      <c r="AT55" s="99">
        <v>-40</v>
      </c>
      <c r="AU55" s="99" t="s">
        <v>1345</v>
      </c>
      <c r="AV55" s="99">
        <v>4</v>
      </c>
      <c r="AW55" s="99" t="s">
        <v>673</v>
      </c>
      <c r="AX55" s="99"/>
    </row>
    <row r="56" spans="1:50" ht="18" customHeight="1" x14ac:dyDescent="0.25">
      <c r="A56" s="349" t="s">
        <v>1840</v>
      </c>
      <c r="B56" s="99" t="s">
        <v>153</v>
      </c>
      <c r="C56" s="99" t="s">
        <v>40</v>
      </c>
      <c r="D56" s="99" t="s">
        <v>30</v>
      </c>
      <c r="E56" s="350">
        <v>40634</v>
      </c>
      <c r="F56" s="99" t="s">
        <v>37</v>
      </c>
      <c r="G56" s="590" t="s">
        <v>40</v>
      </c>
      <c r="H56" s="99">
        <v>120</v>
      </c>
      <c r="I56" s="351">
        <v>0.375</v>
      </c>
      <c r="J56" s="351">
        <v>0.70833333333333337</v>
      </c>
      <c r="K56" s="99" t="s">
        <v>1429</v>
      </c>
      <c r="L56" s="99" t="s">
        <v>1435</v>
      </c>
      <c r="M56" s="99" t="s">
        <v>1430</v>
      </c>
      <c r="N56" s="99" t="s">
        <v>1461</v>
      </c>
      <c r="O56" s="99"/>
      <c r="P56" s="99" t="s">
        <v>37</v>
      </c>
      <c r="Q56" s="99" t="s">
        <v>1429</v>
      </c>
      <c r="R56" s="99" t="s">
        <v>1510</v>
      </c>
      <c r="S56" s="99" t="s">
        <v>1444</v>
      </c>
      <c r="T56" s="350">
        <v>43070</v>
      </c>
      <c r="U56" s="99"/>
      <c r="V56" s="99" t="s">
        <v>31</v>
      </c>
      <c r="W56" s="99" t="s">
        <v>32</v>
      </c>
      <c r="X56" s="99" t="s">
        <v>37</v>
      </c>
      <c r="Y56" s="99">
        <v>1068</v>
      </c>
      <c r="Z56" s="99">
        <v>1</v>
      </c>
      <c r="AA56" s="99">
        <v>580</v>
      </c>
      <c r="AB56" s="99">
        <v>0</v>
      </c>
      <c r="AC56" s="99">
        <v>0</v>
      </c>
      <c r="AD56" s="99">
        <v>0</v>
      </c>
      <c r="AE56" s="99">
        <v>0</v>
      </c>
      <c r="AF56" s="99">
        <v>0</v>
      </c>
      <c r="AG56" s="99">
        <v>1811</v>
      </c>
      <c r="AH56" s="99">
        <v>2</v>
      </c>
      <c r="AI56" s="99">
        <v>24</v>
      </c>
      <c r="AJ56" s="99">
        <v>0</v>
      </c>
      <c r="AK56" s="99">
        <v>0</v>
      </c>
      <c r="AL56" s="99">
        <v>0</v>
      </c>
      <c r="AM56" s="99">
        <v>0</v>
      </c>
      <c r="AN56" s="99">
        <v>0</v>
      </c>
      <c r="AO56" s="99">
        <v>0</v>
      </c>
      <c r="AP56" s="99">
        <v>0</v>
      </c>
      <c r="AQ56" s="99"/>
      <c r="AR56" s="99">
        <v>1763</v>
      </c>
      <c r="AS56" s="99">
        <v>2391</v>
      </c>
      <c r="AT56" s="99">
        <v>-1323</v>
      </c>
      <c r="AU56" s="99" t="s">
        <v>1345</v>
      </c>
      <c r="AV56" s="99">
        <v>21.36</v>
      </c>
      <c r="AW56" s="99" t="s">
        <v>530</v>
      </c>
      <c r="AX56" s="99" t="s">
        <v>1041</v>
      </c>
    </row>
    <row r="57" spans="1:50" ht="18" customHeight="1" x14ac:dyDescent="0.25">
      <c r="A57" s="349" t="s">
        <v>154</v>
      </c>
      <c r="B57" s="99" t="s">
        <v>155</v>
      </c>
      <c r="C57" s="99" t="s">
        <v>35</v>
      </c>
      <c r="D57" s="99" t="s">
        <v>35</v>
      </c>
      <c r="E57" s="350">
        <v>40987</v>
      </c>
      <c r="F57" s="99" t="s">
        <v>1429</v>
      </c>
      <c r="G57" s="590" t="s">
        <v>139</v>
      </c>
      <c r="H57" s="99">
        <v>0</v>
      </c>
      <c r="I57" s="99"/>
      <c r="J57" s="99"/>
      <c r="K57" s="99" t="s">
        <v>1429</v>
      </c>
      <c r="L57" s="99">
        <v>0</v>
      </c>
      <c r="M57" s="99">
        <v>0</v>
      </c>
      <c r="N57" s="99"/>
      <c r="O57" s="99"/>
      <c r="P57" s="99" t="s">
        <v>37</v>
      </c>
      <c r="Q57" s="99" t="s">
        <v>1429</v>
      </c>
      <c r="R57" s="99"/>
      <c r="S57" s="99"/>
      <c r="T57" s="99"/>
      <c r="U57" s="99"/>
      <c r="V57" s="99" t="s">
        <v>31</v>
      </c>
      <c r="W57" s="99" t="s">
        <v>32</v>
      </c>
      <c r="X57" s="99" t="s">
        <v>37</v>
      </c>
      <c r="Y57" s="99">
        <v>494</v>
      </c>
      <c r="Z57" s="99">
        <v>0</v>
      </c>
      <c r="AA57" s="99">
        <v>580</v>
      </c>
      <c r="AB57" s="99">
        <v>0</v>
      </c>
      <c r="AC57" s="99">
        <v>0</v>
      </c>
      <c r="AD57" s="99">
        <v>0</v>
      </c>
      <c r="AE57" s="99">
        <v>0</v>
      </c>
      <c r="AF57" s="99">
        <v>0</v>
      </c>
      <c r="AG57" s="99">
        <v>24</v>
      </c>
      <c r="AH57" s="99">
        <v>1</v>
      </c>
      <c r="AI57" s="99">
        <v>24</v>
      </c>
      <c r="AJ57" s="99">
        <v>0</v>
      </c>
      <c r="AK57" s="99">
        <v>0</v>
      </c>
      <c r="AL57" s="99">
        <v>0</v>
      </c>
      <c r="AM57" s="99">
        <v>0</v>
      </c>
      <c r="AN57" s="99">
        <v>0</v>
      </c>
      <c r="AO57" s="99">
        <v>0</v>
      </c>
      <c r="AP57" s="99">
        <v>0</v>
      </c>
      <c r="AQ57" s="99"/>
      <c r="AR57" s="99">
        <v>0</v>
      </c>
      <c r="AS57" s="99">
        <v>24</v>
      </c>
      <c r="AT57" s="99">
        <v>470</v>
      </c>
      <c r="AU57" s="99" t="s">
        <v>1345</v>
      </c>
      <c r="AV57" s="99">
        <v>9.8800000000000008</v>
      </c>
      <c r="AW57" s="99" t="s">
        <v>528</v>
      </c>
      <c r="AX57" s="99" t="s">
        <v>1044</v>
      </c>
    </row>
    <row r="58" spans="1:50" ht="18" customHeight="1" x14ac:dyDescent="0.25">
      <c r="A58" s="349" t="s">
        <v>156</v>
      </c>
      <c r="B58" s="99" t="s">
        <v>157</v>
      </c>
      <c r="C58" s="99" t="s">
        <v>35</v>
      </c>
      <c r="D58" s="99" t="s">
        <v>35</v>
      </c>
      <c r="E58" s="350">
        <v>40817</v>
      </c>
      <c r="F58" s="99" t="s">
        <v>37</v>
      </c>
      <c r="G58" s="590" t="s">
        <v>139</v>
      </c>
      <c r="H58" s="99">
        <v>120</v>
      </c>
      <c r="I58" s="351">
        <v>0.375</v>
      </c>
      <c r="J58" s="351">
        <v>0.70833333333333337</v>
      </c>
      <c r="K58" s="99" t="s">
        <v>1429</v>
      </c>
      <c r="L58" s="99" t="s">
        <v>1435</v>
      </c>
      <c r="M58" s="352">
        <v>43193</v>
      </c>
      <c r="N58" s="99" t="s">
        <v>1498</v>
      </c>
      <c r="O58" s="99"/>
      <c r="P58" s="99" t="s">
        <v>37</v>
      </c>
      <c r="Q58" s="99" t="s">
        <v>1429</v>
      </c>
      <c r="R58" s="99" t="s">
        <v>1789</v>
      </c>
      <c r="S58" s="99" t="s">
        <v>1444</v>
      </c>
      <c r="T58" s="99"/>
      <c r="U58" s="99" t="s">
        <v>36</v>
      </c>
      <c r="V58" s="99" t="s">
        <v>31</v>
      </c>
      <c r="W58" s="99" t="s">
        <v>32</v>
      </c>
      <c r="X58" s="99" t="s">
        <v>37</v>
      </c>
      <c r="Y58" s="99">
        <v>3448</v>
      </c>
      <c r="Z58" s="99">
        <v>4</v>
      </c>
      <c r="AA58" s="99">
        <v>580</v>
      </c>
      <c r="AB58" s="99">
        <v>0</v>
      </c>
      <c r="AC58" s="99">
        <v>0</v>
      </c>
      <c r="AD58" s="99">
        <v>0</v>
      </c>
      <c r="AE58" s="99">
        <v>0</v>
      </c>
      <c r="AF58" s="99">
        <v>0</v>
      </c>
      <c r="AG58" s="99">
        <v>1787</v>
      </c>
      <c r="AH58" s="99">
        <v>1</v>
      </c>
      <c r="AI58" s="99">
        <v>24</v>
      </c>
      <c r="AJ58" s="99">
        <v>0</v>
      </c>
      <c r="AK58" s="99">
        <v>0</v>
      </c>
      <c r="AL58" s="99">
        <v>0</v>
      </c>
      <c r="AM58" s="99">
        <v>0</v>
      </c>
      <c r="AN58" s="99">
        <v>0</v>
      </c>
      <c r="AO58" s="99">
        <v>0</v>
      </c>
      <c r="AP58" s="99">
        <v>0</v>
      </c>
      <c r="AQ58" s="99"/>
      <c r="AR58" s="99">
        <v>1763</v>
      </c>
      <c r="AS58" s="99">
        <v>4107</v>
      </c>
      <c r="AT58" s="99">
        <v>-659</v>
      </c>
      <c r="AU58" s="99" t="s">
        <v>1345</v>
      </c>
      <c r="AV58" s="99">
        <v>68.959999999999994</v>
      </c>
      <c r="AW58" s="99" t="s">
        <v>530</v>
      </c>
      <c r="AX58" s="99" t="s">
        <v>1044</v>
      </c>
    </row>
    <row r="59" spans="1:50" ht="18" customHeight="1" x14ac:dyDescent="0.25">
      <c r="A59" s="349" t="s">
        <v>158</v>
      </c>
      <c r="B59" s="99" t="s">
        <v>159</v>
      </c>
      <c r="C59" s="99" t="s">
        <v>44</v>
      </c>
      <c r="D59" s="99" t="s">
        <v>35</v>
      </c>
      <c r="E59" s="350">
        <v>41548</v>
      </c>
      <c r="F59" s="99" t="s">
        <v>1429</v>
      </c>
      <c r="G59" s="590"/>
      <c r="H59" s="99">
        <v>0</v>
      </c>
      <c r="I59" s="99"/>
      <c r="J59" s="99"/>
      <c r="K59" s="99" t="s">
        <v>1429</v>
      </c>
      <c r="L59" s="99" t="s">
        <v>1435</v>
      </c>
      <c r="M59" s="99">
        <v>0</v>
      </c>
      <c r="N59" s="99"/>
      <c r="O59" s="99" t="s">
        <v>1511</v>
      </c>
      <c r="P59" s="99" t="s">
        <v>37</v>
      </c>
      <c r="Q59" s="99" t="s">
        <v>1429</v>
      </c>
      <c r="R59" s="99"/>
      <c r="S59" s="99"/>
      <c r="T59" s="99"/>
      <c r="U59" s="99"/>
      <c r="V59" s="99" t="s">
        <v>46</v>
      </c>
      <c r="W59" s="99" t="s">
        <v>32</v>
      </c>
      <c r="X59" s="99" t="s">
        <v>37</v>
      </c>
      <c r="Y59" s="99">
        <v>350</v>
      </c>
      <c r="Z59" s="99"/>
      <c r="AA59" s="99">
        <v>580</v>
      </c>
      <c r="AB59" s="99">
        <v>0</v>
      </c>
      <c r="AC59" s="99">
        <v>0</v>
      </c>
      <c r="AD59" s="99">
        <v>0</v>
      </c>
      <c r="AE59" s="99">
        <v>0</v>
      </c>
      <c r="AF59" s="99">
        <v>0</v>
      </c>
      <c r="AG59" s="99">
        <v>0</v>
      </c>
      <c r="AH59" s="99">
        <v>0</v>
      </c>
      <c r="AI59" s="99">
        <v>24</v>
      </c>
      <c r="AJ59" s="99">
        <v>0</v>
      </c>
      <c r="AK59" s="99">
        <v>0</v>
      </c>
      <c r="AL59" s="99">
        <v>0</v>
      </c>
      <c r="AM59" s="99">
        <v>0</v>
      </c>
      <c r="AN59" s="99">
        <v>0</v>
      </c>
      <c r="AO59" s="99">
        <v>0</v>
      </c>
      <c r="AP59" s="99">
        <v>0</v>
      </c>
      <c r="AQ59" s="99"/>
      <c r="AR59" s="99">
        <v>0</v>
      </c>
      <c r="AS59" s="99">
        <v>0</v>
      </c>
      <c r="AT59" s="99">
        <v>350</v>
      </c>
      <c r="AU59" s="99" t="s">
        <v>1345</v>
      </c>
      <c r="AV59" s="99">
        <v>7</v>
      </c>
      <c r="AW59" s="99" t="s">
        <v>673</v>
      </c>
      <c r="AX59" s="99"/>
    </row>
    <row r="60" spans="1:50" ht="18" customHeight="1" x14ac:dyDescent="0.25">
      <c r="A60" s="349" t="s">
        <v>160</v>
      </c>
      <c r="B60" s="99" t="s">
        <v>161</v>
      </c>
      <c r="C60" s="99" t="s">
        <v>52</v>
      </c>
      <c r="D60" s="99" t="s">
        <v>56</v>
      </c>
      <c r="E60" s="350">
        <v>42213</v>
      </c>
      <c r="F60" s="99" t="s">
        <v>37</v>
      </c>
      <c r="G60" s="590" t="s">
        <v>52</v>
      </c>
      <c r="H60" s="99">
        <v>120</v>
      </c>
      <c r="I60" s="351">
        <v>0.375</v>
      </c>
      <c r="J60" s="351">
        <v>0.70833333333333337</v>
      </c>
      <c r="K60" s="99" t="s">
        <v>1429</v>
      </c>
      <c r="L60" s="99" t="s">
        <v>1435</v>
      </c>
      <c r="M60" s="352">
        <v>43194</v>
      </c>
      <c r="N60" s="99" t="s">
        <v>1512</v>
      </c>
      <c r="O60" s="99" t="s">
        <v>1432</v>
      </c>
      <c r="P60" s="99" t="s">
        <v>37</v>
      </c>
      <c r="Q60" s="99" t="s">
        <v>1429</v>
      </c>
      <c r="R60" s="99" t="s">
        <v>1513</v>
      </c>
      <c r="S60" s="99" t="s">
        <v>1453</v>
      </c>
      <c r="T60" s="99"/>
      <c r="U60" s="99"/>
      <c r="V60" s="99" t="s">
        <v>31</v>
      </c>
      <c r="W60" s="99" t="s">
        <v>32</v>
      </c>
      <c r="X60" s="99" t="s">
        <v>37</v>
      </c>
      <c r="Y60" s="99">
        <v>400</v>
      </c>
      <c r="Z60" s="99"/>
      <c r="AA60" s="99">
        <v>580</v>
      </c>
      <c r="AB60" s="99">
        <v>0</v>
      </c>
      <c r="AC60" s="99">
        <v>0</v>
      </c>
      <c r="AD60" s="99">
        <v>0</v>
      </c>
      <c r="AE60" s="99">
        <v>0</v>
      </c>
      <c r="AF60" s="99">
        <v>0</v>
      </c>
      <c r="AG60" s="99">
        <v>1787</v>
      </c>
      <c r="AH60" s="99">
        <v>1</v>
      </c>
      <c r="AI60" s="99">
        <v>24</v>
      </c>
      <c r="AJ60" s="99">
        <v>0</v>
      </c>
      <c r="AK60" s="99">
        <v>0</v>
      </c>
      <c r="AL60" s="99">
        <v>0</v>
      </c>
      <c r="AM60" s="99">
        <v>0</v>
      </c>
      <c r="AN60" s="99">
        <v>0</v>
      </c>
      <c r="AO60" s="99">
        <v>0</v>
      </c>
      <c r="AP60" s="99">
        <v>0</v>
      </c>
      <c r="AQ60" s="99"/>
      <c r="AR60" s="99">
        <v>1763</v>
      </c>
      <c r="AS60" s="99">
        <v>1787</v>
      </c>
      <c r="AT60" s="99">
        <v>-1387</v>
      </c>
      <c r="AU60" s="99" t="s">
        <v>1345</v>
      </c>
      <c r="AV60" s="99">
        <v>8</v>
      </c>
      <c r="AW60" s="99" t="s">
        <v>530</v>
      </c>
      <c r="AX60" s="99" t="s">
        <v>1044</v>
      </c>
    </row>
    <row r="61" spans="1:50" ht="18" customHeight="1" x14ac:dyDescent="0.25">
      <c r="A61" s="349" t="s">
        <v>162</v>
      </c>
      <c r="B61" s="99" t="s">
        <v>163</v>
      </c>
      <c r="C61" s="99" t="s">
        <v>29</v>
      </c>
      <c r="D61" s="99" t="s">
        <v>30</v>
      </c>
      <c r="E61" s="350">
        <v>39965</v>
      </c>
      <c r="F61" s="99" t="s">
        <v>1429</v>
      </c>
      <c r="G61" s="590" t="s">
        <v>29</v>
      </c>
      <c r="H61" s="99">
        <v>0</v>
      </c>
      <c r="I61" s="351">
        <v>0.375</v>
      </c>
      <c r="J61" s="351">
        <v>0.70833333333333337</v>
      </c>
      <c r="K61" s="99" t="s">
        <v>1429</v>
      </c>
      <c r="L61" s="99" t="s">
        <v>1435</v>
      </c>
      <c r="M61" s="99">
        <v>0</v>
      </c>
      <c r="N61" s="99"/>
      <c r="O61" s="99" t="s">
        <v>1514</v>
      </c>
      <c r="P61" s="99" t="s">
        <v>37</v>
      </c>
      <c r="Q61" s="99" t="s">
        <v>1429</v>
      </c>
      <c r="R61" s="99" t="s">
        <v>1515</v>
      </c>
      <c r="S61" s="99" t="s">
        <v>1453</v>
      </c>
      <c r="T61" s="99"/>
      <c r="U61" s="99"/>
      <c r="V61" s="99" t="s">
        <v>31</v>
      </c>
      <c r="W61" s="99" t="s">
        <v>32</v>
      </c>
      <c r="X61" s="99" t="s">
        <v>37</v>
      </c>
      <c r="Y61" s="99">
        <v>400</v>
      </c>
      <c r="Z61" s="99">
        <v>0</v>
      </c>
      <c r="AA61" s="99">
        <v>580</v>
      </c>
      <c r="AB61" s="99">
        <v>0</v>
      </c>
      <c r="AC61" s="99">
        <v>0</v>
      </c>
      <c r="AD61" s="99">
        <v>0</v>
      </c>
      <c r="AE61" s="99">
        <v>0</v>
      </c>
      <c r="AF61" s="99">
        <v>0</v>
      </c>
      <c r="AG61" s="99">
        <v>2003</v>
      </c>
      <c r="AH61" s="99">
        <v>10</v>
      </c>
      <c r="AI61" s="99">
        <v>24</v>
      </c>
      <c r="AJ61" s="99">
        <v>0</v>
      </c>
      <c r="AK61" s="99">
        <v>0</v>
      </c>
      <c r="AL61" s="99">
        <v>0</v>
      </c>
      <c r="AM61" s="99">
        <v>0</v>
      </c>
      <c r="AN61" s="99">
        <v>0</v>
      </c>
      <c r="AO61" s="99">
        <v>0</v>
      </c>
      <c r="AP61" s="99">
        <v>0</v>
      </c>
      <c r="AQ61" s="99"/>
      <c r="AR61" s="99">
        <v>1763</v>
      </c>
      <c r="AS61" s="99">
        <v>2003</v>
      </c>
      <c r="AT61" s="99">
        <v>-1603</v>
      </c>
      <c r="AU61" s="99" t="s">
        <v>1345</v>
      </c>
      <c r="AV61" s="99">
        <v>8</v>
      </c>
      <c r="AW61" s="99" t="s">
        <v>530</v>
      </c>
      <c r="AX61" s="99" t="s">
        <v>1041</v>
      </c>
    </row>
    <row r="62" spans="1:50" ht="18" customHeight="1" x14ac:dyDescent="0.25">
      <c r="A62" s="349" t="s">
        <v>164</v>
      </c>
      <c r="B62" s="99" t="s">
        <v>165</v>
      </c>
      <c r="C62" s="99" t="s">
        <v>56</v>
      </c>
      <c r="D62" s="99" t="s">
        <v>56</v>
      </c>
      <c r="E62" s="350">
        <v>41663</v>
      </c>
      <c r="F62" s="99" t="s">
        <v>37</v>
      </c>
      <c r="G62" s="590" t="s">
        <v>272</v>
      </c>
      <c r="H62" s="99">
        <v>240</v>
      </c>
      <c r="I62" s="99"/>
      <c r="J62" s="99"/>
      <c r="K62" s="99" t="s">
        <v>1429</v>
      </c>
      <c r="L62" s="99" t="s">
        <v>1435</v>
      </c>
      <c r="M62" s="352">
        <v>43191</v>
      </c>
      <c r="N62" s="99" t="s">
        <v>1516</v>
      </c>
      <c r="O62" s="99" t="s">
        <v>1432</v>
      </c>
      <c r="P62" s="99" t="s">
        <v>37</v>
      </c>
      <c r="Q62" s="99" t="s">
        <v>1429</v>
      </c>
      <c r="R62" s="99" t="s">
        <v>1517</v>
      </c>
      <c r="S62" s="99" t="s">
        <v>1444</v>
      </c>
      <c r="T62" s="99"/>
      <c r="U62" s="99"/>
      <c r="V62" s="99" t="s">
        <v>46</v>
      </c>
      <c r="W62" s="99" t="s">
        <v>32</v>
      </c>
      <c r="X62" s="99" t="s">
        <v>37</v>
      </c>
      <c r="Y62" s="99">
        <v>1000</v>
      </c>
      <c r="Z62" s="99">
        <v>0</v>
      </c>
      <c r="AA62" s="99">
        <v>580</v>
      </c>
      <c r="AB62" s="99">
        <v>0</v>
      </c>
      <c r="AC62" s="99">
        <v>1480</v>
      </c>
      <c r="AD62" s="99">
        <v>0</v>
      </c>
      <c r="AE62" s="99">
        <v>0</v>
      </c>
      <c r="AF62" s="99">
        <v>0</v>
      </c>
      <c r="AG62" s="99">
        <v>2003</v>
      </c>
      <c r="AH62" s="99">
        <v>10</v>
      </c>
      <c r="AI62" s="99">
        <v>24</v>
      </c>
      <c r="AJ62" s="99">
        <v>0</v>
      </c>
      <c r="AK62" s="99">
        <v>0</v>
      </c>
      <c r="AL62" s="99">
        <v>0</v>
      </c>
      <c r="AM62" s="99">
        <v>0</v>
      </c>
      <c r="AN62" s="99">
        <v>0</v>
      </c>
      <c r="AO62" s="99">
        <v>0</v>
      </c>
      <c r="AP62" s="99">
        <v>0</v>
      </c>
      <c r="AQ62" s="99" t="s">
        <v>47</v>
      </c>
      <c r="AR62" s="99">
        <v>1763</v>
      </c>
      <c r="AS62" s="99">
        <v>3483</v>
      </c>
      <c r="AT62" s="99">
        <v>-2483</v>
      </c>
      <c r="AU62" s="99" t="s">
        <v>1345</v>
      </c>
      <c r="AV62" s="99">
        <v>20</v>
      </c>
      <c r="AW62" s="99" t="s">
        <v>530</v>
      </c>
      <c r="AX62" s="99" t="s">
        <v>1853</v>
      </c>
    </row>
    <row r="63" spans="1:50" ht="18" customHeight="1" x14ac:dyDescent="0.25">
      <c r="A63" s="349" t="s">
        <v>166</v>
      </c>
      <c r="B63" s="99" t="s">
        <v>167</v>
      </c>
      <c r="C63" s="99" t="s">
        <v>30</v>
      </c>
      <c r="D63" s="99" t="s">
        <v>30</v>
      </c>
      <c r="E63" s="350">
        <v>41275</v>
      </c>
      <c r="F63" s="99" t="s">
        <v>37</v>
      </c>
      <c r="G63" s="590" t="s">
        <v>544</v>
      </c>
      <c r="H63" s="99">
        <v>0</v>
      </c>
      <c r="I63" s="99"/>
      <c r="J63" s="99"/>
      <c r="K63" s="99" t="s">
        <v>1429</v>
      </c>
      <c r="L63" s="99" t="s">
        <v>1435</v>
      </c>
      <c r="M63" s="99">
        <v>0</v>
      </c>
      <c r="N63" s="99" t="s">
        <v>1518</v>
      </c>
      <c r="O63" s="99"/>
      <c r="P63" s="99" t="s">
        <v>37</v>
      </c>
      <c r="Q63" s="99" t="s">
        <v>1429</v>
      </c>
      <c r="R63" s="99" t="s">
        <v>1517</v>
      </c>
      <c r="S63" s="99" t="s">
        <v>1444</v>
      </c>
      <c r="T63" s="99"/>
      <c r="U63" s="99"/>
      <c r="V63" s="99" t="s">
        <v>46</v>
      </c>
      <c r="W63" s="99" t="s">
        <v>32</v>
      </c>
      <c r="X63" s="99" t="s">
        <v>37</v>
      </c>
      <c r="Y63" s="99">
        <v>2941</v>
      </c>
      <c r="Z63" s="99">
        <v>1</v>
      </c>
      <c r="AA63" s="99">
        <v>580</v>
      </c>
      <c r="AB63" s="99">
        <v>0</v>
      </c>
      <c r="AC63" s="99">
        <v>1480</v>
      </c>
      <c r="AD63" s="99">
        <v>0</v>
      </c>
      <c r="AE63" s="99">
        <v>0</v>
      </c>
      <c r="AF63" s="99">
        <v>0</v>
      </c>
      <c r="AG63" s="99">
        <v>1883</v>
      </c>
      <c r="AH63" s="99">
        <v>5</v>
      </c>
      <c r="AI63" s="99">
        <v>24</v>
      </c>
      <c r="AJ63" s="99">
        <v>0</v>
      </c>
      <c r="AK63" s="99">
        <v>0</v>
      </c>
      <c r="AL63" s="99">
        <v>0</v>
      </c>
      <c r="AM63" s="99">
        <v>0</v>
      </c>
      <c r="AN63" s="99">
        <v>0</v>
      </c>
      <c r="AO63" s="99">
        <v>0</v>
      </c>
      <c r="AP63" s="99">
        <v>0</v>
      </c>
      <c r="AQ63" s="99" t="s">
        <v>47</v>
      </c>
      <c r="AR63" s="99">
        <v>1763</v>
      </c>
      <c r="AS63" s="99">
        <v>3943</v>
      </c>
      <c r="AT63" s="99">
        <v>-1002</v>
      </c>
      <c r="AU63" s="99" t="s">
        <v>1345</v>
      </c>
      <c r="AV63" s="99">
        <v>58.82</v>
      </c>
      <c r="AW63" s="99" t="s">
        <v>530</v>
      </c>
      <c r="AX63" s="99" t="s">
        <v>1853</v>
      </c>
    </row>
    <row r="64" spans="1:50" ht="18" customHeight="1" x14ac:dyDescent="0.25">
      <c r="A64" s="349" t="s">
        <v>784</v>
      </c>
      <c r="B64" s="99" t="s">
        <v>785</v>
      </c>
      <c r="C64" s="99" t="s">
        <v>45</v>
      </c>
      <c r="D64" s="99" t="s">
        <v>45</v>
      </c>
      <c r="E64" s="350">
        <v>40470</v>
      </c>
      <c r="F64" s="99" t="s">
        <v>1429</v>
      </c>
      <c r="G64" s="590" t="s">
        <v>45</v>
      </c>
      <c r="H64" s="99">
        <v>240</v>
      </c>
      <c r="I64" s="351">
        <v>0.375</v>
      </c>
      <c r="J64" s="351">
        <v>0.70833333333333337</v>
      </c>
      <c r="K64" s="99" t="s">
        <v>1429</v>
      </c>
      <c r="L64" s="99" t="s">
        <v>1435</v>
      </c>
      <c r="M64" s="99">
        <v>0</v>
      </c>
      <c r="N64" s="99"/>
      <c r="O64" s="99" t="s">
        <v>1432</v>
      </c>
      <c r="P64" s="99" t="s">
        <v>37</v>
      </c>
      <c r="Q64" s="99" t="s">
        <v>1429</v>
      </c>
      <c r="R64" s="99" t="s">
        <v>1519</v>
      </c>
      <c r="S64" s="99"/>
      <c r="T64" s="99"/>
      <c r="U64" s="99"/>
      <c r="V64" s="99" t="s">
        <v>46</v>
      </c>
      <c r="W64" s="99" t="s">
        <v>32</v>
      </c>
      <c r="X64" s="99" t="s">
        <v>37</v>
      </c>
      <c r="Y64" s="99">
        <v>7000</v>
      </c>
      <c r="Z64" s="99">
        <v>0</v>
      </c>
      <c r="AA64" s="99">
        <v>580</v>
      </c>
      <c r="AB64" s="99">
        <v>0</v>
      </c>
      <c r="AC64" s="99">
        <v>800</v>
      </c>
      <c r="AD64" s="99">
        <v>0</v>
      </c>
      <c r="AE64" s="99">
        <v>0</v>
      </c>
      <c r="AF64" s="99">
        <v>0</v>
      </c>
      <c r="AG64" s="99">
        <v>1040</v>
      </c>
      <c r="AH64" s="99">
        <v>10</v>
      </c>
      <c r="AI64" s="99">
        <v>24</v>
      </c>
      <c r="AJ64" s="99">
        <v>0</v>
      </c>
      <c r="AK64" s="99">
        <v>0</v>
      </c>
      <c r="AL64" s="99">
        <v>0</v>
      </c>
      <c r="AM64" s="99">
        <v>0</v>
      </c>
      <c r="AN64" s="99">
        <v>0</v>
      </c>
      <c r="AO64" s="99">
        <v>0</v>
      </c>
      <c r="AP64" s="99">
        <v>0</v>
      </c>
      <c r="AQ64" s="99" t="s">
        <v>47</v>
      </c>
      <c r="AR64" s="99">
        <v>800</v>
      </c>
      <c r="AS64" s="99">
        <v>1840</v>
      </c>
      <c r="AT64" s="99">
        <v>5160</v>
      </c>
      <c r="AU64" s="99" t="s">
        <v>1345</v>
      </c>
      <c r="AV64" s="99">
        <v>140</v>
      </c>
      <c r="AW64" s="99" t="s">
        <v>526</v>
      </c>
      <c r="AX64" s="99" t="s">
        <v>1861</v>
      </c>
    </row>
    <row r="65" spans="1:50" ht="18" customHeight="1" x14ac:dyDescent="0.25">
      <c r="A65" s="349" t="s">
        <v>168</v>
      </c>
      <c r="B65" s="99" t="s">
        <v>169</v>
      </c>
      <c r="C65" s="99" t="s">
        <v>56</v>
      </c>
      <c r="D65" s="99" t="s">
        <v>56</v>
      </c>
      <c r="E65" s="350">
        <v>41190</v>
      </c>
      <c r="F65" s="99" t="s">
        <v>37</v>
      </c>
      <c r="G65" s="590" t="s">
        <v>126</v>
      </c>
      <c r="H65" s="99">
        <v>240</v>
      </c>
      <c r="I65" s="351">
        <v>0.375</v>
      </c>
      <c r="J65" s="351">
        <v>0.70833333333333337</v>
      </c>
      <c r="K65" s="99" t="s">
        <v>1429</v>
      </c>
      <c r="L65" s="99" t="s">
        <v>1435</v>
      </c>
      <c r="M65" s="99">
        <v>0</v>
      </c>
      <c r="N65" s="99" t="s">
        <v>1520</v>
      </c>
      <c r="O65" s="99" t="s">
        <v>1432</v>
      </c>
      <c r="P65" s="99" t="s">
        <v>37</v>
      </c>
      <c r="Q65" s="99" t="s">
        <v>1429</v>
      </c>
      <c r="R65" s="99" t="s">
        <v>1521</v>
      </c>
      <c r="S65" s="99" t="s">
        <v>1444</v>
      </c>
      <c r="T65" s="99"/>
      <c r="U65" s="99"/>
      <c r="V65" s="99" t="s">
        <v>46</v>
      </c>
      <c r="W65" s="99" t="s">
        <v>32</v>
      </c>
      <c r="X65" s="99" t="s">
        <v>37</v>
      </c>
      <c r="Y65" s="99">
        <v>4190</v>
      </c>
      <c r="Z65" s="99">
        <v>1</v>
      </c>
      <c r="AA65" s="99">
        <v>580</v>
      </c>
      <c r="AB65" s="99">
        <v>0</v>
      </c>
      <c r="AC65" s="99">
        <v>1480</v>
      </c>
      <c r="AD65" s="99">
        <v>0</v>
      </c>
      <c r="AE65" s="99">
        <v>0</v>
      </c>
      <c r="AF65" s="99">
        <v>0</v>
      </c>
      <c r="AG65" s="99">
        <v>2003</v>
      </c>
      <c r="AH65" s="99">
        <v>10</v>
      </c>
      <c r="AI65" s="99">
        <v>24</v>
      </c>
      <c r="AJ65" s="99">
        <v>0</v>
      </c>
      <c r="AK65" s="99">
        <v>0</v>
      </c>
      <c r="AL65" s="99">
        <v>0</v>
      </c>
      <c r="AM65" s="99">
        <v>0</v>
      </c>
      <c r="AN65" s="99">
        <v>0</v>
      </c>
      <c r="AO65" s="99">
        <v>0</v>
      </c>
      <c r="AP65" s="99">
        <v>0</v>
      </c>
      <c r="AQ65" s="99" t="s">
        <v>47</v>
      </c>
      <c r="AR65" s="99">
        <v>1763</v>
      </c>
      <c r="AS65" s="99">
        <v>4063</v>
      </c>
      <c r="AT65" s="99">
        <v>127</v>
      </c>
      <c r="AU65" s="99" t="s">
        <v>1345</v>
      </c>
      <c r="AV65" s="99">
        <v>83.8</v>
      </c>
      <c r="AW65" s="99" t="s">
        <v>528</v>
      </c>
      <c r="AX65" s="99" t="s">
        <v>1858</v>
      </c>
    </row>
    <row r="66" spans="1:50" ht="18" customHeight="1" x14ac:dyDescent="0.25">
      <c r="A66" s="349" t="s">
        <v>170</v>
      </c>
      <c r="B66" s="99" t="s">
        <v>171</v>
      </c>
      <c r="C66" s="99" t="s">
        <v>56</v>
      </c>
      <c r="D66" s="99" t="s">
        <v>56</v>
      </c>
      <c r="E66" s="350">
        <v>41295</v>
      </c>
      <c r="F66" s="99" t="s">
        <v>37</v>
      </c>
      <c r="G66" s="590" t="s">
        <v>44</v>
      </c>
      <c r="H66" s="99">
        <v>240</v>
      </c>
      <c r="I66" s="351">
        <v>0.375</v>
      </c>
      <c r="J66" s="351">
        <v>0.70833333333333337</v>
      </c>
      <c r="K66" s="99" t="s">
        <v>1429</v>
      </c>
      <c r="L66" s="99" t="s">
        <v>1435</v>
      </c>
      <c r="M66" s="99" t="s">
        <v>140</v>
      </c>
      <c r="N66" s="99" t="s">
        <v>1523</v>
      </c>
      <c r="O66" s="99" t="s">
        <v>1524</v>
      </c>
      <c r="P66" s="99" t="s">
        <v>37</v>
      </c>
      <c r="Q66" s="99" t="s">
        <v>1429</v>
      </c>
      <c r="R66" s="99" t="s">
        <v>1525</v>
      </c>
      <c r="S66" s="99" t="s">
        <v>1526</v>
      </c>
      <c r="T66" s="350">
        <v>43159</v>
      </c>
      <c r="U66" s="99"/>
      <c r="V66" s="99" t="s">
        <v>46</v>
      </c>
      <c r="W66" s="99" t="s">
        <v>32</v>
      </c>
      <c r="X66" s="99" t="s">
        <v>37</v>
      </c>
      <c r="Y66" s="99">
        <v>5070</v>
      </c>
      <c r="Z66" s="99">
        <v>1</v>
      </c>
      <c r="AA66" s="99">
        <v>580</v>
      </c>
      <c r="AB66" s="99">
        <v>0</v>
      </c>
      <c r="AC66" s="99">
        <v>1480</v>
      </c>
      <c r="AD66" s="99">
        <v>0</v>
      </c>
      <c r="AE66" s="99">
        <v>0</v>
      </c>
      <c r="AF66" s="99">
        <v>0</v>
      </c>
      <c r="AG66" s="99">
        <v>2003</v>
      </c>
      <c r="AH66" s="99">
        <v>10</v>
      </c>
      <c r="AI66" s="99">
        <v>24</v>
      </c>
      <c r="AJ66" s="99">
        <v>0</v>
      </c>
      <c r="AK66" s="99">
        <v>0</v>
      </c>
      <c r="AL66" s="99">
        <v>0</v>
      </c>
      <c r="AM66" s="99">
        <v>0</v>
      </c>
      <c r="AN66" s="99">
        <v>0</v>
      </c>
      <c r="AO66" s="99">
        <v>0</v>
      </c>
      <c r="AP66" s="99">
        <v>0</v>
      </c>
      <c r="AQ66" s="99" t="s">
        <v>47</v>
      </c>
      <c r="AR66" s="99">
        <v>1763</v>
      </c>
      <c r="AS66" s="99">
        <v>4063</v>
      </c>
      <c r="AT66" s="99">
        <v>1007</v>
      </c>
      <c r="AU66" s="99" t="s">
        <v>1345</v>
      </c>
      <c r="AV66" s="99">
        <v>101.4</v>
      </c>
      <c r="AW66" s="99" t="s">
        <v>527</v>
      </c>
      <c r="AX66" s="99" t="s">
        <v>1853</v>
      </c>
    </row>
    <row r="67" spans="1:50" ht="18" customHeight="1" x14ac:dyDescent="0.25">
      <c r="A67" s="349" t="s">
        <v>172</v>
      </c>
      <c r="B67" s="99" t="s">
        <v>173</v>
      </c>
      <c r="C67" s="99" t="s">
        <v>30</v>
      </c>
      <c r="D67" s="99" t="s">
        <v>30</v>
      </c>
      <c r="E67" s="350">
        <v>40897</v>
      </c>
      <c r="F67" s="99" t="s">
        <v>37</v>
      </c>
      <c r="G67" s="590" t="s">
        <v>44</v>
      </c>
      <c r="H67" s="99">
        <v>120</v>
      </c>
      <c r="I67" s="351">
        <v>0.375</v>
      </c>
      <c r="J67" s="351">
        <v>0.70833333333333337</v>
      </c>
      <c r="K67" s="99" t="s">
        <v>1429</v>
      </c>
      <c r="L67" s="99">
        <v>98</v>
      </c>
      <c r="M67" s="99">
        <v>0</v>
      </c>
      <c r="N67" s="99" t="s">
        <v>1527</v>
      </c>
      <c r="O67" s="99" t="s">
        <v>1524</v>
      </c>
      <c r="P67" s="99" t="s">
        <v>37</v>
      </c>
      <c r="Q67" s="99" t="s">
        <v>1429</v>
      </c>
      <c r="R67" s="99" t="s">
        <v>1528</v>
      </c>
      <c r="S67" s="99" t="s">
        <v>1444</v>
      </c>
      <c r="T67" s="99"/>
      <c r="U67" s="99"/>
      <c r="V67" s="99" t="s">
        <v>46</v>
      </c>
      <c r="W67" s="99" t="s">
        <v>32</v>
      </c>
      <c r="X67" s="99" t="s">
        <v>37</v>
      </c>
      <c r="Y67" s="99">
        <v>9126</v>
      </c>
      <c r="Z67" s="99">
        <v>2</v>
      </c>
      <c r="AA67" s="99">
        <v>580</v>
      </c>
      <c r="AB67" s="99">
        <v>0</v>
      </c>
      <c r="AC67" s="99">
        <v>1480</v>
      </c>
      <c r="AD67" s="99">
        <v>0</v>
      </c>
      <c r="AE67" s="99">
        <v>0</v>
      </c>
      <c r="AF67" s="99">
        <v>0</v>
      </c>
      <c r="AG67" s="99">
        <v>2003</v>
      </c>
      <c r="AH67" s="99">
        <v>10</v>
      </c>
      <c r="AI67" s="99">
        <v>24</v>
      </c>
      <c r="AJ67" s="99">
        <v>0</v>
      </c>
      <c r="AK67" s="99">
        <v>0</v>
      </c>
      <c r="AL67" s="99">
        <v>0</v>
      </c>
      <c r="AM67" s="99">
        <v>0</v>
      </c>
      <c r="AN67" s="99">
        <v>0</v>
      </c>
      <c r="AO67" s="99">
        <v>0</v>
      </c>
      <c r="AP67" s="99">
        <v>0</v>
      </c>
      <c r="AQ67" s="99" t="s">
        <v>47</v>
      </c>
      <c r="AR67" s="99">
        <v>1763</v>
      </c>
      <c r="AS67" s="99">
        <v>4643</v>
      </c>
      <c r="AT67" s="99">
        <v>4483</v>
      </c>
      <c r="AU67" s="99" t="s">
        <v>1345</v>
      </c>
      <c r="AV67" s="99">
        <v>182.52</v>
      </c>
      <c r="AW67" s="99" t="s">
        <v>527</v>
      </c>
      <c r="AX67" s="99" t="s">
        <v>1861</v>
      </c>
    </row>
    <row r="68" spans="1:50" ht="18" customHeight="1" x14ac:dyDescent="0.25">
      <c r="A68" s="349" t="s">
        <v>174</v>
      </c>
      <c r="B68" s="99" t="s">
        <v>175</v>
      </c>
      <c r="C68" s="99" t="s">
        <v>30</v>
      </c>
      <c r="D68" s="99" t="s">
        <v>30</v>
      </c>
      <c r="E68" s="350">
        <v>40940</v>
      </c>
      <c r="F68" s="99" t="s">
        <v>1429</v>
      </c>
      <c r="G68" s="590" t="s">
        <v>44</v>
      </c>
      <c r="H68" s="99">
        <v>0</v>
      </c>
      <c r="I68" s="351">
        <v>0.375</v>
      </c>
      <c r="J68" s="351">
        <v>0.70833333333333337</v>
      </c>
      <c r="K68" s="99" t="s">
        <v>1429</v>
      </c>
      <c r="L68" s="99" t="s">
        <v>1435</v>
      </c>
      <c r="M68" s="352">
        <v>43348</v>
      </c>
      <c r="N68" s="99" t="s">
        <v>1529</v>
      </c>
      <c r="O68" s="99" t="s">
        <v>1524</v>
      </c>
      <c r="P68" s="99" t="s">
        <v>37</v>
      </c>
      <c r="Q68" s="99" t="s">
        <v>1429</v>
      </c>
      <c r="R68" s="99" t="s">
        <v>1530</v>
      </c>
      <c r="S68" s="99" t="s">
        <v>1453</v>
      </c>
      <c r="T68" s="99"/>
      <c r="U68" s="99"/>
      <c r="V68" s="99" t="s">
        <v>46</v>
      </c>
      <c r="W68" s="99" t="s">
        <v>32</v>
      </c>
      <c r="X68" s="99" t="s">
        <v>37</v>
      </c>
      <c r="Y68" s="99">
        <v>4400</v>
      </c>
      <c r="Z68" s="99">
        <v>5</v>
      </c>
      <c r="AA68" s="99">
        <v>580</v>
      </c>
      <c r="AB68" s="99">
        <v>0</v>
      </c>
      <c r="AC68" s="99">
        <v>0</v>
      </c>
      <c r="AD68" s="99">
        <v>0</v>
      </c>
      <c r="AE68" s="99">
        <v>0</v>
      </c>
      <c r="AF68" s="99">
        <v>0</v>
      </c>
      <c r="AG68" s="99">
        <v>240</v>
      </c>
      <c r="AH68" s="99">
        <v>10</v>
      </c>
      <c r="AI68" s="99">
        <v>24</v>
      </c>
      <c r="AJ68" s="99">
        <v>0</v>
      </c>
      <c r="AK68" s="99">
        <v>0</v>
      </c>
      <c r="AL68" s="99">
        <v>0</v>
      </c>
      <c r="AM68" s="99">
        <v>0</v>
      </c>
      <c r="AN68" s="99">
        <v>0</v>
      </c>
      <c r="AO68" s="99">
        <v>0</v>
      </c>
      <c r="AP68" s="99">
        <v>0</v>
      </c>
      <c r="AQ68" s="99" t="s">
        <v>47</v>
      </c>
      <c r="AR68" s="99">
        <v>0</v>
      </c>
      <c r="AS68" s="99">
        <v>3140</v>
      </c>
      <c r="AT68" s="99">
        <v>1260</v>
      </c>
      <c r="AU68" s="99" t="s">
        <v>1345</v>
      </c>
      <c r="AV68" s="99">
        <v>88</v>
      </c>
      <c r="AW68" s="99" t="s">
        <v>527</v>
      </c>
      <c r="AX68" s="99" t="s">
        <v>1795</v>
      </c>
    </row>
    <row r="69" spans="1:50" ht="18" customHeight="1" x14ac:dyDescent="0.25">
      <c r="A69" s="349" t="s">
        <v>786</v>
      </c>
      <c r="B69" s="99" t="s">
        <v>609</v>
      </c>
      <c r="C69" s="99" t="s">
        <v>30</v>
      </c>
      <c r="D69" s="99" t="s">
        <v>30</v>
      </c>
      <c r="E69" s="350">
        <v>42471</v>
      </c>
      <c r="F69" s="99" t="s">
        <v>37</v>
      </c>
      <c r="G69" s="590" t="s">
        <v>544</v>
      </c>
      <c r="H69" s="99">
        <v>240</v>
      </c>
      <c r="I69" s="351">
        <v>0.375</v>
      </c>
      <c r="J69" s="351">
        <v>0.70833333333333337</v>
      </c>
      <c r="K69" s="99" t="s">
        <v>1429</v>
      </c>
      <c r="L69" s="99" t="s">
        <v>1435</v>
      </c>
      <c r="M69" s="99" t="s">
        <v>1476</v>
      </c>
      <c r="N69" s="99" t="s">
        <v>1531</v>
      </c>
      <c r="O69" s="99" t="s">
        <v>1524</v>
      </c>
      <c r="P69" s="99" t="s">
        <v>37</v>
      </c>
      <c r="Q69" s="99" t="s">
        <v>1429</v>
      </c>
      <c r="R69" s="99" t="s">
        <v>1532</v>
      </c>
      <c r="S69" s="99" t="s">
        <v>1444</v>
      </c>
      <c r="T69" s="99"/>
      <c r="U69" s="99"/>
      <c r="V69" s="99" t="s">
        <v>46</v>
      </c>
      <c r="W69" s="99" t="s">
        <v>32</v>
      </c>
      <c r="X69" s="99" t="s">
        <v>37</v>
      </c>
      <c r="Y69" s="99">
        <v>4800</v>
      </c>
      <c r="Z69" s="99">
        <v>0</v>
      </c>
      <c r="AA69" s="99">
        <v>580</v>
      </c>
      <c r="AB69" s="99">
        <v>0</v>
      </c>
      <c r="AC69" s="99">
        <v>1480</v>
      </c>
      <c r="AD69" s="99">
        <v>0</v>
      </c>
      <c r="AE69" s="99">
        <v>0</v>
      </c>
      <c r="AF69" s="99">
        <v>0</v>
      </c>
      <c r="AG69" s="99">
        <v>2003</v>
      </c>
      <c r="AH69" s="99">
        <v>10</v>
      </c>
      <c r="AI69" s="99">
        <v>24</v>
      </c>
      <c r="AJ69" s="99">
        <v>0</v>
      </c>
      <c r="AK69" s="99">
        <v>0</v>
      </c>
      <c r="AL69" s="99">
        <v>0</v>
      </c>
      <c r="AM69" s="99">
        <v>0</v>
      </c>
      <c r="AN69" s="99">
        <v>0</v>
      </c>
      <c r="AO69" s="99">
        <v>0</v>
      </c>
      <c r="AP69" s="99">
        <v>0</v>
      </c>
      <c r="AQ69" s="99" t="s">
        <v>576</v>
      </c>
      <c r="AR69" s="99">
        <v>1763</v>
      </c>
      <c r="AS69" s="99">
        <v>3483</v>
      </c>
      <c r="AT69" s="99">
        <v>1317</v>
      </c>
      <c r="AU69" s="99" t="s">
        <v>1345</v>
      </c>
      <c r="AV69" s="99">
        <v>96</v>
      </c>
      <c r="AW69" s="99" t="s">
        <v>528</v>
      </c>
      <c r="AX69" s="99" t="s">
        <v>1856</v>
      </c>
    </row>
    <row r="70" spans="1:50" ht="18" customHeight="1" x14ac:dyDescent="0.25">
      <c r="A70" s="349" t="s">
        <v>176</v>
      </c>
      <c r="B70" s="99" t="s">
        <v>177</v>
      </c>
      <c r="C70" s="99" t="s">
        <v>35</v>
      </c>
      <c r="D70" s="99" t="s">
        <v>35</v>
      </c>
      <c r="E70" s="350">
        <v>39814</v>
      </c>
      <c r="F70" s="99" t="s">
        <v>37</v>
      </c>
      <c r="G70" s="590" t="s">
        <v>52</v>
      </c>
      <c r="H70" s="99">
        <v>0</v>
      </c>
      <c r="I70" s="99"/>
      <c r="J70" s="99"/>
      <c r="K70" s="99" t="s">
        <v>1429</v>
      </c>
      <c r="L70" s="99">
        <v>0</v>
      </c>
      <c r="M70" s="99" t="s">
        <v>1439</v>
      </c>
      <c r="N70" s="99"/>
      <c r="O70" s="99" t="s">
        <v>1524</v>
      </c>
      <c r="P70" s="99" t="s">
        <v>37</v>
      </c>
      <c r="Q70" s="99" t="s">
        <v>1429</v>
      </c>
      <c r="R70" s="99" t="s">
        <v>1533</v>
      </c>
      <c r="S70" s="99" t="s">
        <v>1453</v>
      </c>
      <c r="T70" s="99"/>
      <c r="U70" s="99"/>
      <c r="V70" s="99" t="s">
        <v>71</v>
      </c>
      <c r="W70" s="99" t="s">
        <v>32</v>
      </c>
      <c r="X70" s="99" t="s">
        <v>37</v>
      </c>
      <c r="Y70" s="99">
        <v>416</v>
      </c>
      <c r="Z70" s="99">
        <v>0</v>
      </c>
      <c r="AA70" s="99">
        <v>580</v>
      </c>
      <c r="AB70" s="99">
        <v>0</v>
      </c>
      <c r="AC70" s="99">
        <v>0</v>
      </c>
      <c r="AD70" s="99">
        <v>0</v>
      </c>
      <c r="AE70" s="99">
        <v>0</v>
      </c>
      <c r="AF70" s="99">
        <v>0</v>
      </c>
      <c r="AG70" s="99">
        <v>48</v>
      </c>
      <c r="AH70" s="99">
        <v>2</v>
      </c>
      <c r="AI70" s="99">
        <v>24</v>
      </c>
      <c r="AJ70" s="99">
        <v>0</v>
      </c>
      <c r="AK70" s="99">
        <v>0</v>
      </c>
      <c r="AL70" s="99">
        <v>0</v>
      </c>
      <c r="AM70" s="99">
        <v>0</v>
      </c>
      <c r="AN70" s="99">
        <v>0</v>
      </c>
      <c r="AO70" s="99">
        <v>0</v>
      </c>
      <c r="AP70" s="99">
        <v>0</v>
      </c>
      <c r="AQ70" s="99"/>
      <c r="AR70" s="99">
        <v>0</v>
      </c>
      <c r="AS70" s="99">
        <v>48</v>
      </c>
      <c r="AT70" s="99">
        <v>368</v>
      </c>
      <c r="AU70" s="99" t="s">
        <v>1345</v>
      </c>
      <c r="AV70" s="99">
        <v>8.32</v>
      </c>
      <c r="AW70" s="99" t="s">
        <v>528</v>
      </c>
      <c r="AX70" s="99" t="s">
        <v>1041</v>
      </c>
    </row>
    <row r="71" spans="1:50" ht="18" customHeight="1" x14ac:dyDescent="0.25">
      <c r="A71" s="349" t="s">
        <v>178</v>
      </c>
      <c r="B71" s="99" t="s">
        <v>179</v>
      </c>
      <c r="C71" s="99" t="s">
        <v>29</v>
      </c>
      <c r="D71" s="99" t="s">
        <v>30</v>
      </c>
      <c r="E71" s="350">
        <v>40330</v>
      </c>
      <c r="F71" s="99" t="s">
        <v>37</v>
      </c>
      <c r="G71" s="590" t="s">
        <v>29</v>
      </c>
      <c r="H71" s="99">
        <v>120</v>
      </c>
      <c r="I71" s="351">
        <v>0.375</v>
      </c>
      <c r="J71" s="351">
        <v>0.70833333333333337</v>
      </c>
      <c r="K71" s="99" t="s">
        <v>1429</v>
      </c>
      <c r="L71" s="99" t="s">
        <v>1435</v>
      </c>
      <c r="M71" s="99" t="s">
        <v>1430</v>
      </c>
      <c r="N71" s="99" t="s">
        <v>1534</v>
      </c>
      <c r="O71" s="99" t="s">
        <v>1524</v>
      </c>
      <c r="P71" s="99" t="s">
        <v>37</v>
      </c>
      <c r="Q71" s="99" t="s">
        <v>1429</v>
      </c>
      <c r="R71" s="99" t="s">
        <v>1535</v>
      </c>
      <c r="S71" s="99" t="s">
        <v>1444</v>
      </c>
      <c r="T71" s="99"/>
      <c r="U71" s="99"/>
      <c r="V71" s="99" t="s">
        <v>31</v>
      </c>
      <c r="W71" s="99" t="s">
        <v>32</v>
      </c>
      <c r="X71" s="99" t="s">
        <v>37</v>
      </c>
      <c r="Y71" s="99">
        <v>450</v>
      </c>
      <c r="Z71" s="99">
        <v>0</v>
      </c>
      <c r="AA71" s="99">
        <v>580</v>
      </c>
      <c r="AB71" s="99">
        <v>0</v>
      </c>
      <c r="AC71" s="99">
        <v>0</v>
      </c>
      <c r="AD71" s="99">
        <v>0</v>
      </c>
      <c r="AE71" s="99">
        <v>0</v>
      </c>
      <c r="AF71" s="99">
        <v>0</v>
      </c>
      <c r="AG71" s="99">
        <v>1811</v>
      </c>
      <c r="AH71" s="99">
        <v>2</v>
      </c>
      <c r="AI71" s="99">
        <v>24</v>
      </c>
      <c r="AJ71" s="99">
        <v>0</v>
      </c>
      <c r="AK71" s="99">
        <v>0</v>
      </c>
      <c r="AL71" s="99">
        <v>0</v>
      </c>
      <c r="AM71" s="99">
        <v>0</v>
      </c>
      <c r="AN71" s="99">
        <v>0</v>
      </c>
      <c r="AO71" s="99">
        <v>0</v>
      </c>
      <c r="AP71" s="99">
        <v>0</v>
      </c>
      <c r="AQ71" s="99"/>
      <c r="AR71" s="99">
        <v>1763</v>
      </c>
      <c r="AS71" s="99">
        <v>1811</v>
      </c>
      <c r="AT71" s="99">
        <v>-1361</v>
      </c>
      <c r="AU71" s="99" t="s">
        <v>1345</v>
      </c>
      <c r="AV71" s="99">
        <v>9</v>
      </c>
      <c r="AW71" s="99" t="s">
        <v>530</v>
      </c>
      <c r="AX71" s="99" t="s">
        <v>1041</v>
      </c>
    </row>
    <row r="72" spans="1:50" ht="18" customHeight="1" x14ac:dyDescent="0.25">
      <c r="A72" s="349" t="s">
        <v>787</v>
      </c>
      <c r="B72" s="99" t="s">
        <v>788</v>
      </c>
      <c r="C72" s="99" t="s">
        <v>180</v>
      </c>
      <c r="D72" s="99" t="s">
        <v>45</v>
      </c>
      <c r="E72" s="350">
        <v>41184</v>
      </c>
      <c r="F72" s="99" t="s">
        <v>1429</v>
      </c>
      <c r="G72" s="590"/>
      <c r="H72" s="99"/>
      <c r="I72" s="99"/>
      <c r="J72" s="99"/>
      <c r="K72" s="99" t="s">
        <v>1429</v>
      </c>
      <c r="L72" s="99"/>
      <c r="M72" s="99"/>
      <c r="N72" s="99"/>
      <c r="O72" s="99"/>
      <c r="P72" s="99" t="s">
        <v>37</v>
      </c>
      <c r="Q72" s="99" t="s">
        <v>1429</v>
      </c>
      <c r="R72" s="99"/>
      <c r="S72" s="99"/>
      <c r="T72" s="99"/>
      <c r="U72" s="99"/>
      <c r="V72" s="99"/>
      <c r="W72" s="99" t="s">
        <v>32</v>
      </c>
      <c r="X72" s="99" t="s">
        <v>37</v>
      </c>
      <c r="Y72" s="99"/>
      <c r="Z72" s="99"/>
      <c r="AA72" s="99">
        <v>580</v>
      </c>
      <c r="AB72" s="99">
        <v>0</v>
      </c>
      <c r="AC72" s="99">
        <v>0</v>
      </c>
      <c r="AD72" s="99">
        <v>0</v>
      </c>
      <c r="AE72" s="99">
        <v>0</v>
      </c>
      <c r="AF72" s="99">
        <v>0</v>
      </c>
      <c r="AG72" s="99">
        <v>0</v>
      </c>
      <c r="AH72" s="99">
        <v>0</v>
      </c>
      <c r="AI72" s="99">
        <v>24</v>
      </c>
      <c r="AJ72" s="99">
        <v>0</v>
      </c>
      <c r="AK72" s="99">
        <v>0</v>
      </c>
      <c r="AL72" s="99">
        <v>0</v>
      </c>
      <c r="AM72" s="99">
        <v>0</v>
      </c>
      <c r="AN72" s="99">
        <v>0</v>
      </c>
      <c r="AO72" s="99">
        <v>0</v>
      </c>
      <c r="AP72" s="99">
        <v>0</v>
      </c>
      <c r="AQ72" s="99"/>
      <c r="AR72" s="99">
        <v>0</v>
      </c>
      <c r="AS72" s="99">
        <v>0</v>
      </c>
      <c r="AT72" s="99">
        <v>0</v>
      </c>
      <c r="AU72" s="99" t="s">
        <v>1345</v>
      </c>
      <c r="AV72" s="99">
        <v>0</v>
      </c>
      <c r="AW72" s="99" t="s">
        <v>530</v>
      </c>
      <c r="AX72" s="99"/>
    </row>
    <row r="73" spans="1:50" ht="18" customHeight="1" x14ac:dyDescent="0.25">
      <c r="A73" s="349" t="s">
        <v>1862</v>
      </c>
      <c r="B73" s="99" t="s">
        <v>1863</v>
      </c>
      <c r="C73" s="99"/>
      <c r="D73" s="99"/>
      <c r="E73" s="350">
        <v>42917</v>
      </c>
      <c r="F73" s="99" t="s">
        <v>1429</v>
      </c>
      <c r="G73" s="590"/>
      <c r="H73" s="99">
        <v>0</v>
      </c>
      <c r="I73" s="99"/>
      <c r="J73" s="99"/>
      <c r="K73" s="99" t="s">
        <v>1429</v>
      </c>
      <c r="L73" s="99">
        <v>0</v>
      </c>
      <c r="M73" s="99">
        <v>0</v>
      </c>
      <c r="N73" s="99"/>
      <c r="O73" s="99"/>
      <c r="P73" s="99" t="s">
        <v>37</v>
      </c>
      <c r="Q73" s="99" t="s">
        <v>1429</v>
      </c>
      <c r="R73" s="99"/>
      <c r="S73" s="99"/>
      <c r="T73" s="99"/>
      <c r="U73" s="99"/>
      <c r="V73" s="99"/>
      <c r="W73" s="99" t="s">
        <v>32</v>
      </c>
      <c r="X73" s="99" t="s">
        <v>1429</v>
      </c>
      <c r="Y73" s="99"/>
      <c r="Z73" s="99"/>
      <c r="AA73" s="99">
        <v>580</v>
      </c>
      <c r="AB73" s="99">
        <v>0</v>
      </c>
      <c r="AC73" s="99">
        <v>0</v>
      </c>
      <c r="AD73" s="99">
        <v>0</v>
      </c>
      <c r="AE73" s="99">
        <v>0</v>
      </c>
      <c r="AF73" s="99">
        <v>0</v>
      </c>
      <c r="AG73" s="99">
        <v>0</v>
      </c>
      <c r="AH73" s="99">
        <v>0</v>
      </c>
      <c r="AI73" s="99">
        <v>24</v>
      </c>
      <c r="AJ73" s="99">
        <v>0</v>
      </c>
      <c r="AK73" s="99">
        <v>0</v>
      </c>
      <c r="AL73" s="99">
        <v>0</v>
      </c>
      <c r="AM73" s="99">
        <v>0</v>
      </c>
      <c r="AN73" s="99">
        <v>0</v>
      </c>
      <c r="AO73" s="99">
        <v>0</v>
      </c>
      <c r="AP73" s="99">
        <v>0</v>
      </c>
      <c r="AQ73" s="99"/>
      <c r="AR73" s="99">
        <v>0</v>
      </c>
      <c r="AS73" s="99">
        <v>0</v>
      </c>
      <c r="AT73" s="99">
        <v>0</v>
      </c>
      <c r="AU73" s="99" t="s">
        <v>1345</v>
      </c>
      <c r="AV73" s="99">
        <v>0</v>
      </c>
      <c r="AW73" s="99" t="s">
        <v>530</v>
      </c>
      <c r="AX73" s="99"/>
    </row>
    <row r="74" spans="1:50" ht="18" customHeight="1" x14ac:dyDescent="0.25">
      <c r="A74" s="349" t="s">
        <v>789</v>
      </c>
      <c r="B74" s="99" t="s">
        <v>790</v>
      </c>
      <c r="C74" s="99" t="s">
        <v>180</v>
      </c>
      <c r="D74" s="99" t="s">
        <v>180</v>
      </c>
      <c r="E74" s="350">
        <v>40980</v>
      </c>
      <c r="F74" s="99" t="s">
        <v>1429</v>
      </c>
      <c r="G74" s="590"/>
      <c r="H74" s="99"/>
      <c r="I74" s="99"/>
      <c r="J74" s="99"/>
      <c r="K74" s="99" t="s">
        <v>1429</v>
      </c>
      <c r="L74" s="99"/>
      <c r="M74" s="99"/>
      <c r="N74" s="99"/>
      <c r="O74" s="99"/>
      <c r="P74" s="99" t="s">
        <v>37</v>
      </c>
      <c r="Q74" s="99" t="s">
        <v>1429</v>
      </c>
      <c r="R74" s="99"/>
      <c r="S74" s="99"/>
      <c r="T74" s="99"/>
      <c r="U74" s="99"/>
      <c r="V74" s="99"/>
      <c r="W74" s="99" t="s">
        <v>32</v>
      </c>
      <c r="X74" s="99" t="s">
        <v>37</v>
      </c>
      <c r="Y74" s="99"/>
      <c r="Z74" s="99"/>
      <c r="AA74" s="99">
        <v>580</v>
      </c>
      <c r="AB74" s="99">
        <v>0</v>
      </c>
      <c r="AC74" s="99">
        <v>0</v>
      </c>
      <c r="AD74" s="99">
        <v>0</v>
      </c>
      <c r="AE74" s="99">
        <v>0</v>
      </c>
      <c r="AF74" s="99">
        <v>0</v>
      </c>
      <c r="AG74" s="99">
        <v>0</v>
      </c>
      <c r="AH74" s="99">
        <v>0</v>
      </c>
      <c r="AI74" s="99">
        <v>24</v>
      </c>
      <c r="AJ74" s="99">
        <v>0</v>
      </c>
      <c r="AK74" s="99">
        <v>0</v>
      </c>
      <c r="AL74" s="99">
        <v>0</v>
      </c>
      <c r="AM74" s="99">
        <v>0</v>
      </c>
      <c r="AN74" s="99">
        <v>0</v>
      </c>
      <c r="AO74" s="99">
        <v>0</v>
      </c>
      <c r="AP74" s="99">
        <v>0</v>
      </c>
      <c r="AQ74" s="99"/>
      <c r="AR74" s="99">
        <v>0</v>
      </c>
      <c r="AS74" s="99">
        <v>0</v>
      </c>
      <c r="AT74" s="99">
        <v>0</v>
      </c>
      <c r="AU74" s="99" t="s">
        <v>1345</v>
      </c>
      <c r="AV74" s="99">
        <v>0</v>
      </c>
      <c r="AW74" s="99" t="s">
        <v>530</v>
      </c>
      <c r="AX74" s="99"/>
    </row>
    <row r="75" spans="1:50" ht="18" customHeight="1" x14ac:dyDescent="0.25">
      <c r="A75" s="349" t="s">
        <v>791</v>
      </c>
      <c r="B75" s="99" t="s">
        <v>792</v>
      </c>
      <c r="C75" s="99" t="s">
        <v>180</v>
      </c>
      <c r="D75" s="99" t="s">
        <v>180</v>
      </c>
      <c r="E75" s="350">
        <v>40980</v>
      </c>
      <c r="F75" s="99" t="s">
        <v>1429</v>
      </c>
      <c r="G75" s="590"/>
      <c r="H75" s="99"/>
      <c r="I75" s="99"/>
      <c r="J75" s="99"/>
      <c r="K75" s="99" t="s">
        <v>1429</v>
      </c>
      <c r="L75" s="99"/>
      <c r="M75" s="99"/>
      <c r="N75" s="99"/>
      <c r="O75" s="99"/>
      <c r="P75" s="99" t="s">
        <v>37</v>
      </c>
      <c r="Q75" s="99" t="s">
        <v>1429</v>
      </c>
      <c r="R75" s="99"/>
      <c r="S75" s="99"/>
      <c r="T75" s="99"/>
      <c r="U75" s="99"/>
      <c r="V75" s="99"/>
      <c r="W75" s="99" t="s">
        <v>32</v>
      </c>
      <c r="X75" s="99" t="s">
        <v>37</v>
      </c>
      <c r="Y75" s="99"/>
      <c r="Z75" s="99"/>
      <c r="AA75" s="99">
        <v>580</v>
      </c>
      <c r="AB75" s="99">
        <v>0</v>
      </c>
      <c r="AC75" s="99">
        <v>0</v>
      </c>
      <c r="AD75" s="99">
        <v>0</v>
      </c>
      <c r="AE75" s="99">
        <v>0</v>
      </c>
      <c r="AF75" s="99">
        <v>0</v>
      </c>
      <c r="AG75" s="99">
        <v>0</v>
      </c>
      <c r="AH75" s="99">
        <v>0</v>
      </c>
      <c r="AI75" s="99">
        <v>24</v>
      </c>
      <c r="AJ75" s="99">
        <v>0</v>
      </c>
      <c r="AK75" s="99">
        <v>0</v>
      </c>
      <c r="AL75" s="99">
        <v>0</v>
      </c>
      <c r="AM75" s="99">
        <v>0</v>
      </c>
      <c r="AN75" s="99">
        <v>0</v>
      </c>
      <c r="AO75" s="99">
        <v>0</v>
      </c>
      <c r="AP75" s="99">
        <v>0</v>
      </c>
      <c r="AQ75" s="99"/>
      <c r="AR75" s="99">
        <v>0</v>
      </c>
      <c r="AS75" s="99">
        <v>0</v>
      </c>
      <c r="AT75" s="99">
        <v>0</v>
      </c>
      <c r="AU75" s="99" t="s">
        <v>1345</v>
      </c>
      <c r="AV75" s="99">
        <v>0</v>
      </c>
      <c r="AW75" s="99" t="s">
        <v>530</v>
      </c>
      <c r="AX75" s="99"/>
    </row>
    <row r="76" spans="1:50" ht="18" customHeight="1" x14ac:dyDescent="0.25">
      <c r="A76" s="349" t="s">
        <v>793</v>
      </c>
      <c r="B76" s="99" t="s">
        <v>794</v>
      </c>
      <c r="C76" s="99" t="s">
        <v>180</v>
      </c>
      <c r="D76" s="99" t="s">
        <v>45</v>
      </c>
      <c r="E76" s="350">
        <v>41030</v>
      </c>
      <c r="F76" s="99" t="s">
        <v>1429</v>
      </c>
      <c r="G76" s="590"/>
      <c r="H76" s="99"/>
      <c r="I76" s="99"/>
      <c r="J76" s="99"/>
      <c r="K76" s="99" t="s">
        <v>1429</v>
      </c>
      <c r="L76" s="99"/>
      <c r="M76" s="99"/>
      <c r="N76" s="99"/>
      <c r="O76" s="99"/>
      <c r="P76" s="99" t="s">
        <v>37</v>
      </c>
      <c r="Q76" s="99" t="s">
        <v>1429</v>
      </c>
      <c r="R76" s="99"/>
      <c r="S76" s="99"/>
      <c r="T76" s="99"/>
      <c r="U76" s="99"/>
      <c r="V76" s="99"/>
      <c r="W76" s="99" t="s">
        <v>32</v>
      </c>
      <c r="X76" s="99" t="s">
        <v>37</v>
      </c>
      <c r="Y76" s="99"/>
      <c r="Z76" s="99"/>
      <c r="AA76" s="99">
        <v>580</v>
      </c>
      <c r="AB76" s="99">
        <v>0</v>
      </c>
      <c r="AC76" s="99">
        <v>0</v>
      </c>
      <c r="AD76" s="99">
        <v>0</v>
      </c>
      <c r="AE76" s="99">
        <v>0</v>
      </c>
      <c r="AF76" s="99">
        <v>0</v>
      </c>
      <c r="AG76" s="99">
        <v>0</v>
      </c>
      <c r="AH76" s="99">
        <v>0</v>
      </c>
      <c r="AI76" s="99">
        <v>24</v>
      </c>
      <c r="AJ76" s="99">
        <v>0</v>
      </c>
      <c r="AK76" s="99">
        <v>0</v>
      </c>
      <c r="AL76" s="99">
        <v>0</v>
      </c>
      <c r="AM76" s="99">
        <v>0</v>
      </c>
      <c r="AN76" s="99">
        <v>0</v>
      </c>
      <c r="AO76" s="99">
        <v>0</v>
      </c>
      <c r="AP76" s="99">
        <v>0</v>
      </c>
      <c r="AQ76" s="99"/>
      <c r="AR76" s="99">
        <v>0</v>
      </c>
      <c r="AS76" s="99">
        <v>0</v>
      </c>
      <c r="AT76" s="99">
        <v>0</v>
      </c>
      <c r="AU76" s="99" t="s">
        <v>1345</v>
      </c>
      <c r="AV76" s="99">
        <v>0</v>
      </c>
      <c r="AW76" s="99" t="s">
        <v>530</v>
      </c>
      <c r="AX76" s="99"/>
    </row>
    <row r="77" spans="1:50" ht="18" customHeight="1" x14ac:dyDescent="0.25">
      <c r="A77" s="349" t="s">
        <v>181</v>
      </c>
      <c r="B77" s="99" t="s">
        <v>182</v>
      </c>
      <c r="C77" s="99" t="s">
        <v>40</v>
      </c>
      <c r="D77" s="99" t="s">
        <v>30</v>
      </c>
      <c r="E77" s="350">
        <v>40422</v>
      </c>
      <c r="F77" s="99" t="s">
        <v>37</v>
      </c>
      <c r="G77" s="590" t="s">
        <v>40</v>
      </c>
      <c r="H77" s="99">
        <v>120</v>
      </c>
      <c r="I77" s="351">
        <v>0.375</v>
      </c>
      <c r="J77" s="351">
        <v>0.70833333333333337</v>
      </c>
      <c r="K77" s="99" t="s">
        <v>1429</v>
      </c>
      <c r="L77" s="99" t="s">
        <v>1435</v>
      </c>
      <c r="M77" s="99" t="s">
        <v>41</v>
      </c>
      <c r="N77" s="99" t="s">
        <v>1534</v>
      </c>
      <c r="O77" s="99" t="s">
        <v>1524</v>
      </c>
      <c r="P77" s="99" t="s">
        <v>37</v>
      </c>
      <c r="Q77" s="99" t="s">
        <v>1429</v>
      </c>
      <c r="R77" s="99" t="s">
        <v>1536</v>
      </c>
      <c r="S77" s="99" t="s">
        <v>1444</v>
      </c>
      <c r="T77" s="350">
        <v>43220</v>
      </c>
      <c r="U77" s="99" t="s">
        <v>36</v>
      </c>
      <c r="V77" s="99" t="s">
        <v>31</v>
      </c>
      <c r="W77" s="99" t="s">
        <v>32</v>
      </c>
      <c r="X77" s="99" t="s">
        <v>37</v>
      </c>
      <c r="Y77" s="99">
        <v>3191</v>
      </c>
      <c r="Z77" s="99">
        <v>3</v>
      </c>
      <c r="AA77" s="99">
        <v>580</v>
      </c>
      <c r="AB77" s="99">
        <v>0</v>
      </c>
      <c r="AC77" s="99">
        <v>0</v>
      </c>
      <c r="AD77" s="99">
        <v>0</v>
      </c>
      <c r="AE77" s="99">
        <v>0</v>
      </c>
      <c r="AF77" s="99">
        <v>0</v>
      </c>
      <c r="AG77" s="99">
        <v>1811</v>
      </c>
      <c r="AH77" s="99">
        <v>2</v>
      </c>
      <c r="AI77" s="99">
        <v>24</v>
      </c>
      <c r="AJ77" s="99">
        <v>0</v>
      </c>
      <c r="AK77" s="99">
        <v>0</v>
      </c>
      <c r="AL77" s="99">
        <v>0</v>
      </c>
      <c r="AM77" s="99">
        <v>0</v>
      </c>
      <c r="AN77" s="99">
        <v>0</v>
      </c>
      <c r="AO77" s="99">
        <v>0</v>
      </c>
      <c r="AP77" s="99">
        <v>0</v>
      </c>
      <c r="AQ77" s="99"/>
      <c r="AR77" s="99">
        <v>1763</v>
      </c>
      <c r="AS77" s="99">
        <v>3551</v>
      </c>
      <c r="AT77" s="99">
        <v>-360</v>
      </c>
      <c r="AU77" s="99" t="s">
        <v>1345</v>
      </c>
      <c r="AV77" s="99">
        <v>63.82</v>
      </c>
      <c r="AW77" s="99" t="s">
        <v>530</v>
      </c>
      <c r="AX77" s="99" t="s">
        <v>1041</v>
      </c>
    </row>
    <row r="78" spans="1:50" ht="18" customHeight="1" x14ac:dyDescent="0.25">
      <c r="A78" s="349" t="s">
        <v>1131</v>
      </c>
      <c r="B78" s="99" t="s">
        <v>183</v>
      </c>
      <c r="C78" s="99" t="s">
        <v>30</v>
      </c>
      <c r="D78" s="99" t="s">
        <v>30</v>
      </c>
      <c r="E78" s="350">
        <v>41607</v>
      </c>
      <c r="F78" s="99" t="s">
        <v>1429</v>
      </c>
      <c r="G78" s="590"/>
      <c r="H78" s="99">
        <v>0</v>
      </c>
      <c r="I78" s="351">
        <v>0.375</v>
      </c>
      <c r="J78" s="351">
        <v>0.70833333333333337</v>
      </c>
      <c r="K78" s="99" t="s">
        <v>1429</v>
      </c>
      <c r="L78" s="99">
        <v>0</v>
      </c>
      <c r="M78" s="352">
        <v>43222</v>
      </c>
      <c r="N78" s="99"/>
      <c r="O78" s="99"/>
      <c r="P78" s="99" t="s">
        <v>37</v>
      </c>
      <c r="Q78" s="99" t="s">
        <v>1429</v>
      </c>
      <c r="R78" s="99" t="s">
        <v>1537</v>
      </c>
      <c r="S78" s="99"/>
      <c r="T78" s="99"/>
      <c r="U78" s="99"/>
      <c r="V78" s="99" t="s">
        <v>46</v>
      </c>
      <c r="W78" s="99" t="s">
        <v>32</v>
      </c>
      <c r="X78" s="99" t="s">
        <v>37</v>
      </c>
      <c r="Y78" s="99">
        <v>0</v>
      </c>
      <c r="Z78" s="99">
        <v>0</v>
      </c>
      <c r="AA78" s="99">
        <v>580</v>
      </c>
      <c r="AB78" s="99">
        <v>0</v>
      </c>
      <c r="AC78" s="99">
        <v>0</v>
      </c>
      <c r="AD78" s="99">
        <v>0</v>
      </c>
      <c r="AE78" s="99">
        <v>0</v>
      </c>
      <c r="AF78" s="99">
        <v>0</v>
      </c>
      <c r="AG78" s="99">
        <v>0</v>
      </c>
      <c r="AH78" s="99">
        <v>0</v>
      </c>
      <c r="AI78" s="99">
        <v>24</v>
      </c>
      <c r="AJ78" s="99">
        <v>0</v>
      </c>
      <c r="AK78" s="99">
        <v>0</v>
      </c>
      <c r="AL78" s="99">
        <v>0</v>
      </c>
      <c r="AM78" s="99">
        <v>0</v>
      </c>
      <c r="AN78" s="99">
        <v>0</v>
      </c>
      <c r="AO78" s="99">
        <v>0</v>
      </c>
      <c r="AP78" s="99">
        <v>0</v>
      </c>
      <c r="AQ78" s="99"/>
      <c r="AR78" s="99">
        <v>0</v>
      </c>
      <c r="AS78" s="99">
        <v>0</v>
      </c>
      <c r="AT78" s="99">
        <v>0</v>
      </c>
      <c r="AU78" s="99" t="s">
        <v>1345</v>
      </c>
      <c r="AV78" s="99">
        <v>0</v>
      </c>
      <c r="AW78" s="99" t="s">
        <v>530</v>
      </c>
      <c r="AX78" s="99" t="s">
        <v>1855</v>
      </c>
    </row>
    <row r="79" spans="1:50" ht="18" customHeight="1" x14ac:dyDescent="0.25">
      <c r="A79" s="349" t="s">
        <v>184</v>
      </c>
      <c r="B79" s="99" t="s">
        <v>185</v>
      </c>
      <c r="C79" s="99" t="s">
        <v>30</v>
      </c>
      <c r="D79" s="99" t="s">
        <v>30</v>
      </c>
      <c r="E79" s="350">
        <v>41122</v>
      </c>
      <c r="F79" s="99" t="s">
        <v>37</v>
      </c>
      <c r="G79" s="590" t="s">
        <v>272</v>
      </c>
      <c r="H79" s="99">
        <v>60</v>
      </c>
      <c r="I79" s="351">
        <v>0.33333333333333331</v>
      </c>
      <c r="J79" s="351">
        <v>0.75</v>
      </c>
      <c r="K79" s="99" t="s">
        <v>1429</v>
      </c>
      <c r="L79" s="99" t="s">
        <v>1435</v>
      </c>
      <c r="M79" s="352">
        <v>43170</v>
      </c>
      <c r="N79" s="99" t="s">
        <v>1538</v>
      </c>
      <c r="O79" s="99" t="s">
        <v>1524</v>
      </c>
      <c r="P79" s="99" t="s">
        <v>37</v>
      </c>
      <c r="Q79" s="99" t="s">
        <v>1429</v>
      </c>
      <c r="R79" s="99" t="s">
        <v>1539</v>
      </c>
      <c r="S79" s="99" t="s">
        <v>1444</v>
      </c>
      <c r="T79" s="99"/>
      <c r="U79" s="99"/>
      <c r="V79" s="99" t="s">
        <v>46</v>
      </c>
      <c r="W79" s="99" t="s">
        <v>32</v>
      </c>
      <c r="X79" s="99" t="s">
        <v>37</v>
      </c>
      <c r="Y79" s="99">
        <v>15000</v>
      </c>
      <c r="Z79" s="99">
        <v>1</v>
      </c>
      <c r="AA79" s="99">
        <v>580</v>
      </c>
      <c r="AB79" s="99">
        <v>0</v>
      </c>
      <c r="AC79" s="99">
        <v>1480</v>
      </c>
      <c r="AD79" s="99">
        <v>0</v>
      </c>
      <c r="AE79" s="99">
        <v>0</v>
      </c>
      <c r="AF79" s="99">
        <v>0</v>
      </c>
      <c r="AG79" s="99">
        <v>2483</v>
      </c>
      <c r="AH79" s="99">
        <v>30</v>
      </c>
      <c r="AI79" s="99">
        <v>24</v>
      </c>
      <c r="AJ79" s="99">
        <v>0</v>
      </c>
      <c r="AK79" s="99">
        <v>0</v>
      </c>
      <c r="AL79" s="99">
        <v>0</v>
      </c>
      <c r="AM79" s="99">
        <v>0</v>
      </c>
      <c r="AN79" s="99">
        <v>0</v>
      </c>
      <c r="AO79" s="99">
        <v>0</v>
      </c>
      <c r="AP79" s="99">
        <v>0</v>
      </c>
      <c r="AQ79" s="99" t="s">
        <v>47</v>
      </c>
      <c r="AR79" s="99">
        <v>1763</v>
      </c>
      <c r="AS79" s="99">
        <v>4543</v>
      </c>
      <c r="AT79" s="99">
        <v>10457</v>
      </c>
      <c r="AU79" s="99" t="s">
        <v>1345</v>
      </c>
      <c r="AV79" s="99">
        <v>300</v>
      </c>
      <c r="AW79" s="99" t="s">
        <v>526</v>
      </c>
      <c r="AX79" s="99" t="s">
        <v>1866</v>
      </c>
    </row>
    <row r="80" spans="1:50" ht="18" customHeight="1" x14ac:dyDescent="0.25">
      <c r="A80" s="349" t="s">
        <v>186</v>
      </c>
      <c r="B80" s="99" t="s">
        <v>187</v>
      </c>
      <c r="C80" s="99" t="s">
        <v>40</v>
      </c>
      <c r="D80" s="99" t="s">
        <v>30</v>
      </c>
      <c r="E80" s="350">
        <v>39845</v>
      </c>
      <c r="F80" s="99" t="s">
        <v>1429</v>
      </c>
      <c r="G80" s="590" t="s">
        <v>40</v>
      </c>
      <c r="H80" s="99">
        <v>480</v>
      </c>
      <c r="I80" s="351">
        <v>0.33333333333333331</v>
      </c>
      <c r="J80" s="351">
        <v>0.70833333333333337</v>
      </c>
      <c r="K80" s="99" t="s">
        <v>1429</v>
      </c>
      <c r="L80" s="99">
        <v>0</v>
      </c>
      <c r="M80" s="99">
        <v>0</v>
      </c>
      <c r="N80" s="99"/>
      <c r="O80" s="99" t="s">
        <v>1524</v>
      </c>
      <c r="P80" s="99" t="s">
        <v>37</v>
      </c>
      <c r="Q80" s="99" t="s">
        <v>1429</v>
      </c>
      <c r="R80" s="99" t="s">
        <v>1540</v>
      </c>
      <c r="S80" s="99" t="s">
        <v>1444</v>
      </c>
      <c r="T80" s="99"/>
      <c r="U80" s="99"/>
      <c r="V80" s="99" t="s">
        <v>31</v>
      </c>
      <c r="W80" s="99" t="s">
        <v>32</v>
      </c>
      <c r="X80" s="99" t="s">
        <v>37</v>
      </c>
      <c r="Y80" s="99">
        <v>1700</v>
      </c>
      <c r="Z80" s="99">
        <v>0</v>
      </c>
      <c r="AA80" s="99">
        <v>580</v>
      </c>
      <c r="AB80" s="99">
        <v>0</v>
      </c>
      <c r="AC80" s="99">
        <v>0</v>
      </c>
      <c r="AD80" s="99">
        <v>0</v>
      </c>
      <c r="AE80" s="99">
        <v>0</v>
      </c>
      <c r="AF80" s="99">
        <v>0</v>
      </c>
      <c r="AG80" s="99">
        <v>2003</v>
      </c>
      <c r="AH80" s="99">
        <v>10</v>
      </c>
      <c r="AI80" s="99">
        <v>24</v>
      </c>
      <c r="AJ80" s="99">
        <v>0</v>
      </c>
      <c r="AK80" s="99">
        <v>0</v>
      </c>
      <c r="AL80" s="99">
        <v>0</v>
      </c>
      <c r="AM80" s="99">
        <v>0</v>
      </c>
      <c r="AN80" s="99">
        <v>0</v>
      </c>
      <c r="AO80" s="99">
        <v>0</v>
      </c>
      <c r="AP80" s="99">
        <v>0</v>
      </c>
      <c r="AQ80" s="99"/>
      <c r="AR80" s="99">
        <v>1763</v>
      </c>
      <c r="AS80" s="99">
        <v>2003</v>
      </c>
      <c r="AT80" s="99">
        <v>-303</v>
      </c>
      <c r="AU80" s="99" t="s">
        <v>1345</v>
      </c>
      <c r="AV80" s="99">
        <v>34</v>
      </c>
      <c r="AW80" s="99" t="s">
        <v>530</v>
      </c>
      <c r="AX80" s="99" t="s">
        <v>1049</v>
      </c>
    </row>
    <row r="81" spans="1:50" ht="18" customHeight="1" x14ac:dyDescent="0.25">
      <c r="A81" s="349" t="s">
        <v>188</v>
      </c>
      <c r="B81" s="99" t="s">
        <v>189</v>
      </c>
      <c r="C81" s="99" t="s">
        <v>30</v>
      </c>
      <c r="D81" s="99" t="s">
        <v>30</v>
      </c>
      <c r="E81" s="350">
        <v>40826</v>
      </c>
      <c r="F81" s="99" t="s">
        <v>1429</v>
      </c>
      <c r="G81" s="590" t="s">
        <v>126</v>
      </c>
      <c r="H81" s="99">
        <v>240</v>
      </c>
      <c r="I81" s="351">
        <v>0.375</v>
      </c>
      <c r="J81" s="351">
        <v>0.70833333333333337</v>
      </c>
      <c r="K81" s="99" t="s">
        <v>37</v>
      </c>
      <c r="L81" s="99" t="s">
        <v>1435</v>
      </c>
      <c r="M81" s="99">
        <v>63</v>
      </c>
      <c r="N81" s="99" t="s">
        <v>1538</v>
      </c>
      <c r="O81" s="99" t="s">
        <v>1524</v>
      </c>
      <c r="P81" s="99" t="s">
        <v>37</v>
      </c>
      <c r="Q81" s="99" t="s">
        <v>1429</v>
      </c>
      <c r="R81" s="99" t="s">
        <v>1541</v>
      </c>
      <c r="S81" s="99" t="s">
        <v>1453</v>
      </c>
      <c r="T81" s="99"/>
      <c r="U81" s="99" t="s">
        <v>109</v>
      </c>
      <c r="V81" s="99" t="s">
        <v>46</v>
      </c>
      <c r="W81" s="99" t="s">
        <v>32</v>
      </c>
      <c r="X81" s="99" t="s">
        <v>37</v>
      </c>
      <c r="Y81" s="99">
        <v>5800</v>
      </c>
      <c r="Z81" s="99">
        <v>1</v>
      </c>
      <c r="AA81" s="99">
        <v>580</v>
      </c>
      <c r="AB81" s="99">
        <v>0</v>
      </c>
      <c r="AC81" s="99">
        <v>1480</v>
      </c>
      <c r="AD81" s="99">
        <v>0</v>
      </c>
      <c r="AE81" s="99">
        <v>0</v>
      </c>
      <c r="AF81" s="99">
        <v>0</v>
      </c>
      <c r="AG81" s="99">
        <v>1763</v>
      </c>
      <c r="AH81" s="99">
        <v>0</v>
      </c>
      <c r="AI81" s="99">
        <v>24</v>
      </c>
      <c r="AJ81" s="99">
        <v>0</v>
      </c>
      <c r="AK81" s="99">
        <v>0</v>
      </c>
      <c r="AL81" s="99">
        <v>0</v>
      </c>
      <c r="AM81" s="99">
        <v>0</v>
      </c>
      <c r="AN81" s="99">
        <v>0</v>
      </c>
      <c r="AO81" s="99">
        <v>0</v>
      </c>
      <c r="AP81" s="99">
        <v>0</v>
      </c>
      <c r="AQ81" s="99" t="s">
        <v>47</v>
      </c>
      <c r="AR81" s="99">
        <v>1763</v>
      </c>
      <c r="AS81" s="99">
        <v>3823</v>
      </c>
      <c r="AT81" s="99">
        <v>1977</v>
      </c>
      <c r="AU81" s="99" t="s">
        <v>1345</v>
      </c>
      <c r="AV81" s="99">
        <v>116</v>
      </c>
      <c r="AW81" s="99" t="s">
        <v>527</v>
      </c>
      <c r="AX81" s="99" t="s">
        <v>1855</v>
      </c>
    </row>
    <row r="82" spans="1:50" ht="18" customHeight="1" x14ac:dyDescent="0.25">
      <c r="A82" s="349" t="s">
        <v>191</v>
      </c>
      <c r="B82" s="99" t="s">
        <v>192</v>
      </c>
      <c r="C82" s="99" t="s">
        <v>30</v>
      </c>
      <c r="D82" s="99" t="s">
        <v>30</v>
      </c>
      <c r="E82" s="350">
        <v>40238</v>
      </c>
      <c r="F82" s="99" t="s">
        <v>37</v>
      </c>
      <c r="G82" s="590" t="s">
        <v>190</v>
      </c>
      <c r="H82" s="99">
        <v>120</v>
      </c>
      <c r="I82" s="351">
        <v>0.33333333333333331</v>
      </c>
      <c r="J82" s="351">
        <v>0.75</v>
      </c>
      <c r="K82" s="99" t="s">
        <v>1429</v>
      </c>
      <c r="L82" s="99" t="s">
        <v>1435</v>
      </c>
      <c r="M82" s="352">
        <v>43161</v>
      </c>
      <c r="N82" s="99" t="s">
        <v>1542</v>
      </c>
      <c r="O82" s="99" t="s">
        <v>1524</v>
      </c>
      <c r="P82" s="99" t="s">
        <v>37</v>
      </c>
      <c r="Q82" s="99" t="s">
        <v>1429</v>
      </c>
      <c r="R82" s="99" t="s">
        <v>1543</v>
      </c>
      <c r="S82" s="99" t="s">
        <v>1496</v>
      </c>
      <c r="T82" s="99"/>
      <c r="U82" s="99"/>
      <c r="V82" s="99" t="s">
        <v>31</v>
      </c>
      <c r="W82" s="99" t="s">
        <v>32</v>
      </c>
      <c r="X82" s="99" t="s">
        <v>37</v>
      </c>
      <c r="Y82" s="99">
        <v>838</v>
      </c>
      <c r="Z82" s="99">
        <v>0</v>
      </c>
      <c r="AA82" s="99">
        <v>580</v>
      </c>
      <c r="AB82" s="99">
        <v>0</v>
      </c>
      <c r="AC82" s="99">
        <v>0</v>
      </c>
      <c r="AD82" s="99">
        <v>0</v>
      </c>
      <c r="AE82" s="99">
        <v>0</v>
      </c>
      <c r="AF82" s="99">
        <v>0</v>
      </c>
      <c r="AG82" s="99">
        <v>1883</v>
      </c>
      <c r="AH82" s="99">
        <v>5</v>
      </c>
      <c r="AI82" s="99">
        <v>24</v>
      </c>
      <c r="AJ82" s="99">
        <v>0</v>
      </c>
      <c r="AK82" s="99">
        <v>0</v>
      </c>
      <c r="AL82" s="99">
        <v>0</v>
      </c>
      <c r="AM82" s="99">
        <v>0</v>
      </c>
      <c r="AN82" s="99">
        <v>0</v>
      </c>
      <c r="AO82" s="99">
        <v>0</v>
      </c>
      <c r="AP82" s="99">
        <v>0</v>
      </c>
      <c r="AQ82" s="99"/>
      <c r="AR82" s="99">
        <v>1763</v>
      </c>
      <c r="AS82" s="99">
        <v>1883</v>
      </c>
      <c r="AT82" s="99">
        <v>-1045</v>
      </c>
      <c r="AU82" s="99" t="s">
        <v>1345</v>
      </c>
      <c r="AV82" s="99">
        <v>16.760000000000002</v>
      </c>
      <c r="AW82" s="99" t="s">
        <v>530</v>
      </c>
      <c r="AX82" s="99" t="s">
        <v>1041</v>
      </c>
    </row>
    <row r="83" spans="1:50" ht="18" customHeight="1" x14ac:dyDescent="0.25">
      <c r="A83" s="349" t="s">
        <v>193</v>
      </c>
      <c r="B83" s="99" t="s">
        <v>194</v>
      </c>
      <c r="C83" s="99" t="s">
        <v>44</v>
      </c>
      <c r="D83" s="99" t="s">
        <v>35</v>
      </c>
      <c r="E83" s="350">
        <v>41548</v>
      </c>
      <c r="F83" s="99" t="s">
        <v>1429</v>
      </c>
      <c r="G83" s="590"/>
      <c r="H83" s="99"/>
      <c r="I83" s="99"/>
      <c r="J83" s="99"/>
      <c r="K83" s="99" t="s">
        <v>1429</v>
      </c>
      <c r="L83" s="99"/>
      <c r="M83" s="99"/>
      <c r="N83" s="99"/>
      <c r="O83" s="99"/>
      <c r="P83" s="99" t="s">
        <v>37</v>
      </c>
      <c r="Q83" s="99" t="s">
        <v>1429</v>
      </c>
      <c r="R83" s="99"/>
      <c r="S83" s="99"/>
      <c r="T83" s="99"/>
      <c r="U83" s="99"/>
      <c r="V83" s="99" t="s">
        <v>46</v>
      </c>
      <c r="W83" s="99" t="s">
        <v>32</v>
      </c>
      <c r="X83" s="99" t="s">
        <v>37</v>
      </c>
      <c r="Y83" s="99">
        <v>1000</v>
      </c>
      <c r="Z83" s="99"/>
      <c r="AA83" s="99">
        <v>580</v>
      </c>
      <c r="AB83" s="99">
        <v>0</v>
      </c>
      <c r="AC83" s="99">
        <v>800</v>
      </c>
      <c r="AD83" s="99">
        <v>0</v>
      </c>
      <c r="AE83" s="99">
        <v>0</v>
      </c>
      <c r="AF83" s="99">
        <v>0</v>
      </c>
      <c r="AG83" s="99">
        <v>1040</v>
      </c>
      <c r="AH83" s="99">
        <v>10</v>
      </c>
      <c r="AI83" s="99">
        <v>24</v>
      </c>
      <c r="AJ83" s="99">
        <v>0</v>
      </c>
      <c r="AK83" s="99">
        <v>0</v>
      </c>
      <c r="AL83" s="99">
        <v>0</v>
      </c>
      <c r="AM83" s="99">
        <v>0</v>
      </c>
      <c r="AN83" s="99">
        <v>0</v>
      </c>
      <c r="AO83" s="99">
        <v>0</v>
      </c>
      <c r="AP83" s="99">
        <v>0</v>
      </c>
      <c r="AQ83" s="99" t="s">
        <v>47</v>
      </c>
      <c r="AR83" s="99">
        <v>800</v>
      </c>
      <c r="AS83" s="99">
        <v>1840</v>
      </c>
      <c r="AT83" s="99">
        <v>-840</v>
      </c>
      <c r="AU83" s="99" t="s">
        <v>1345</v>
      </c>
      <c r="AV83" s="99">
        <v>20</v>
      </c>
      <c r="AW83" s="99" t="s">
        <v>673</v>
      </c>
      <c r="AX83" s="99"/>
    </row>
    <row r="84" spans="1:50" ht="18" customHeight="1" x14ac:dyDescent="0.25">
      <c r="A84" s="349" t="s">
        <v>195</v>
      </c>
      <c r="B84" s="99" t="s">
        <v>196</v>
      </c>
      <c r="C84" s="99" t="s">
        <v>35</v>
      </c>
      <c r="D84" s="99" t="s">
        <v>35</v>
      </c>
      <c r="E84" s="350">
        <v>41395</v>
      </c>
      <c r="F84" s="99" t="s">
        <v>37</v>
      </c>
      <c r="G84" s="590" t="s">
        <v>44</v>
      </c>
      <c r="H84" s="99">
        <v>120</v>
      </c>
      <c r="I84" s="351">
        <v>0.375</v>
      </c>
      <c r="J84" s="351">
        <v>0.70833333333333337</v>
      </c>
      <c r="K84" s="99" t="s">
        <v>1429</v>
      </c>
      <c r="L84" s="99" t="s">
        <v>1435</v>
      </c>
      <c r="M84" s="352">
        <v>43204</v>
      </c>
      <c r="N84" s="99" t="s">
        <v>1531</v>
      </c>
      <c r="O84" s="99" t="s">
        <v>1524</v>
      </c>
      <c r="P84" s="99" t="s">
        <v>37</v>
      </c>
      <c r="Q84" s="99" t="s">
        <v>1429</v>
      </c>
      <c r="R84" s="99" t="s">
        <v>1544</v>
      </c>
      <c r="S84" s="99" t="s">
        <v>1526</v>
      </c>
      <c r="T84" s="99"/>
      <c r="U84" s="99"/>
      <c r="V84" s="99" t="s">
        <v>46</v>
      </c>
      <c r="W84" s="99" t="s">
        <v>32</v>
      </c>
      <c r="X84" s="99" t="s">
        <v>37</v>
      </c>
      <c r="Y84" s="99">
        <v>2100</v>
      </c>
      <c r="Z84" s="99">
        <v>0</v>
      </c>
      <c r="AA84" s="99">
        <v>580</v>
      </c>
      <c r="AB84" s="99">
        <v>0</v>
      </c>
      <c r="AC84" s="99">
        <v>1480</v>
      </c>
      <c r="AD84" s="99">
        <v>0</v>
      </c>
      <c r="AE84" s="99">
        <v>0</v>
      </c>
      <c r="AF84" s="99">
        <v>0</v>
      </c>
      <c r="AG84" s="99">
        <v>2003</v>
      </c>
      <c r="AH84" s="99">
        <v>10</v>
      </c>
      <c r="AI84" s="99">
        <v>24</v>
      </c>
      <c r="AJ84" s="99">
        <v>0</v>
      </c>
      <c r="AK84" s="99">
        <v>0</v>
      </c>
      <c r="AL84" s="99">
        <v>0</v>
      </c>
      <c r="AM84" s="99">
        <v>0</v>
      </c>
      <c r="AN84" s="99">
        <v>0</v>
      </c>
      <c r="AO84" s="99">
        <v>0</v>
      </c>
      <c r="AP84" s="99">
        <v>0</v>
      </c>
      <c r="AQ84" s="99" t="s">
        <v>47</v>
      </c>
      <c r="AR84" s="99">
        <v>1763</v>
      </c>
      <c r="AS84" s="99">
        <v>3483</v>
      </c>
      <c r="AT84" s="99">
        <v>-1383</v>
      </c>
      <c r="AU84" s="99" t="s">
        <v>1345</v>
      </c>
      <c r="AV84" s="99">
        <v>42</v>
      </c>
      <c r="AW84" s="99" t="s">
        <v>530</v>
      </c>
      <c r="AX84" s="99" t="s">
        <v>1838</v>
      </c>
    </row>
    <row r="85" spans="1:50" ht="18" customHeight="1" x14ac:dyDescent="0.25">
      <c r="A85" s="349" t="s">
        <v>197</v>
      </c>
      <c r="B85" s="99" t="s">
        <v>198</v>
      </c>
      <c r="C85" s="99" t="s">
        <v>44</v>
      </c>
      <c r="D85" s="99" t="s">
        <v>35</v>
      </c>
      <c r="E85" s="350">
        <v>41548</v>
      </c>
      <c r="F85" s="99" t="s">
        <v>1429</v>
      </c>
      <c r="G85" s="590"/>
      <c r="H85" s="99"/>
      <c r="I85" s="99"/>
      <c r="J85" s="99"/>
      <c r="K85" s="99" t="s">
        <v>1429</v>
      </c>
      <c r="L85" s="99"/>
      <c r="M85" s="99"/>
      <c r="N85" s="99"/>
      <c r="O85" s="99"/>
      <c r="P85" s="99" t="s">
        <v>37</v>
      </c>
      <c r="Q85" s="99" t="s">
        <v>1429</v>
      </c>
      <c r="R85" s="99"/>
      <c r="S85" s="99"/>
      <c r="T85" s="99"/>
      <c r="U85" s="99"/>
      <c r="V85" s="99" t="s">
        <v>46</v>
      </c>
      <c r="W85" s="99" t="s">
        <v>32</v>
      </c>
      <c r="X85" s="99" t="s">
        <v>37</v>
      </c>
      <c r="Y85" s="99">
        <v>300</v>
      </c>
      <c r="Z85" s="99"/>
      <c r="AA85" s="99">
        <v>580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240</v>
      </c>
      <c r="AH85" s="99">
        <v>10</v>
      </c>
      <c r="AI85" s="99">
        <v>24</v>
      </c>
      <c r="AJ85" s="99">
        <v>0</v>
      </c>
      <c r="AK85" s="99">
        <v>0</v>
      </c>
      <c r="AL85" s="99">
        <v>0</v>
      </c>
      <c r="AM85" s="99">
        <v>0</v>
      </c>
      <c r="AN85" s="99">
        <v>0</v>
      </c>
      <c r="AO85" s="99">
        <v>0</v>
      </c>
      <c r="AP85" s="99">
        <v>0</v>
      </c>
      <c r="AQ85" s="99"/>
      <c r="AR85" s="99">
        <v>0</v>
      </c>
      <c r="AS85" s="99">
        <v>240</v>
      </c>
      <c r="AT85" s="99">
        <v>60</v>
      </c>
      <c r="AU85" s="99" t="s">
        <v>1345</v>
      </c>
      <c r="AV85" s="99">
        <v>6</v>
      </c>
      <c r="AW85" s="99" t="s">
        <v>528</v>
      </c>
      <c r="AX85" s="99"/>
    </row>
    <row r="86" spans="1:50" ht="18" customHeight="1" x14ac:dyDescent="0.25">
      <c r="A86" s="349" t="s">
        <v>633</v>
      </c>
      <c r="B86" s="99" t="s">
        <v>634</v>
      </c>
      <c r="C86" s="99" t="s">
        <v>56</v>
      </c>
      <c r="D86" s="99" t="s">
        <v>56</v>
      </c>
      <c r="E86" s="350">
        <v>42461</v>
      </c>
      <c r="F86" s="99" t="s">
        <v>37</v>
      </c>
      <c r="G86" s="590" t="s">
        <v>66</v>
      </c>
      <c r="H86" s="99">
        <v>240</v>
      </c>
      <c r="I86" s="351">
        <v>0.375</v>
      </c>
      <c r="J86" s="351">
        <v>0.70833333333333337</v>
      </c>
      <c r="K86" s="99" t="s">
        <v>1429</v>
      </c>
      <c r="L86" s="99" t="s">
        <v>1435</v>
      </c>
      <c r="M86" s="352">
        <v>43315</v>
      </c>
      <c r="N86" s="99" t="s">
        <v>1531</v>
      </c>
      <c r="O86" s="99" t="s">
        <v>1524</v>
      </c>
      <c r="P86" s="99" t="s">
        <v>37</v>
      </c>
      <c r="Q86" s="99" t="s">
        <v>1429</v>
      </c>
      <c r="R86" s="99" t="s">
        <v>1545</v>
      </c>
      <c r="S86" s="99" t="s">
        <v>1444</v>
      </c>
      <c r="T86" s="99"/>
      <c r="U86" s="99"/>
      <c r="V86" s="99" t="s">
        <v>46</v>
      </c>
      <c r="W86" s="99" t="s">
        <v>32</v>
      </c>
      <c r="X86" s="99" t="s">
        <v>37</v>
      </c>
      <c r="Y86" s="99">
        <v>1850</v>
      </c>
      <c r="Z86" s="99">
        <v>0</v>
      </c>
      <c r="AA86" s="99">
        <v>580</v>
      </c>
      <c r="AB86" s="99">
        <v>0</v>
      </c>
      <c r="AC86" s="99">
        <v>1480</v>
      </c>
      <c r="AD86" s="99">
        <v>0</v>
      </c>
      <c r="AE86" s="99">
        <v>0</v>
      </c>
      <c r="AF86" s="99">
        <v>0</v>
      </c>
      <c r="AG86" s="99">
        <v>1883</v>
      </c>
      <c r="AH86" s="99">
        <v>5</v>
      </c>
      <c r="AI86" s="99">
        <v>24</v>
      </c>
      <c r="AJ86" s="99">
        <v>0</v>
      </c>
      <c r="AK86" s="99">
        <v>0</v>
      </c>
      <c r="AL86" s="99">
        <v>0</v>
      </c>
      <c r="AM86" s="99">
        <v>0</v>
      </c>
      <c r="AN86" s="99">
        <v>0</v>
      </c>
      <c r="AO86" s="99">
        <v>0</v>
      </c>
      <c r="AP86" s="99">
        <v>0</v>
      </c>
      <c r="AQ86" s="99" t="s">
        <v>47</v>
      </c>
      <c r="AR86" s="99">
        <v>1763</v>
      </c>
      <c r="AS86" s="99">
        <v>3363</v>
      </c>
      <c r="AT86" s="99">
        <v>-1513</v>
      </c>
      <c r="AU86" s="99" t="s">
        <v>1345</v>
      </c>
      <c r="AV86" s="99">
        <v>37</v>
      </c>
      <c r="AW86" s="99" t="s">
        <v>530</v>
      </c>
      <c r="AX86" s="99" t="s">
        <v>1857</v>
      </c>
    </row>
    <row r="87" spans="1:50" ht="18" customHeight="1" x14ac:dyDescent="0.25">
      <c r="A87" s="349" t="s">
        <v>199</v>
      </c>
      <c r="B87" s="99" t="s">
        <v>200</v>
      </c>
      <c r="C87" s="99" t="s">
        <v>35</v>
      </c>
      <c r="D87" s="99" t="s">
        <v>35</v>
      </c>
      <c r="E87" s="350">
        <v>40224</v>
      </c>
      <c r="F87" s="99" t="s">
        <v>1429</v>
      </c>
      <c r="G87" s="590" t="s">
        <v>40</v>
      </c>
      <c r="H87" s="99">
        <v>120</v>
      </c>
      <c r="I87" s="99"/>
      <c r="J87" s="99"/>
      <c r="K87" s="99" t="s">
        <v>1429</v>
      </c>
      <c r="L87" s="99">
        <v>0</v>
      </c>
      <c r="M87" s="99">
        <v>0</v>
      </c>
      <c r="N87" s="99"/>
      <c r="O87" s="99" t="s">
        <v>1794</v>
      </c>
      <c r="P87" s="99" t="s">
        <v>37</v>
      </c>
      <c r="Q87" s="99" t="s">
        <v>37</v>
      </c>
      <c r="R87" s="99" t="s">
        <v>1790</v>
      </c>
      <c r="S87" s="99" t="s">
        <v>1444</v>
      </c>
      <c r="T87" s="99"/>
      <c r="U87" s="99" t="s">
        <v>36</v>
      </c>
      <c r="V87" s="99" t="s">
        <v>31</v>
      </c>
      <c r="W87" s="99" t="s">
        <v>32</v>
      </c>
      <c r="X87" s="99" t="s">
        <v>37</v>
      </c>
      <c r="Y87" s="99">
        <v>14375</v>
      </c>
      <c r="Z87" s="99">
        <v>0</v>
      </c>
      <c r="AA87" s="99">
        <v>580</v>
      </c>
      <c r="AB87" s="99">
        <v>0</v>
      </c>
      <c r="AC87" s="99">
        <v>0</v>
      </c>
      <c r="AD87" s="99">
        <v>0</v>
      </c>
      <c r="AE87" s="99">
        <v>0</v>
      </c>
      <c r="AF87" s="99">
        <v>6666</v>
      </c>
      <c r="AG87" s="99">
        <v>2003</v>
      </c>
      <c r="AH87" s="99">
        <v>10</v>
      </c>
      <c r="AI87" s="99">
        <v>24</v>
      </c>
      <c r="AJ87" s="99">
        <v>0</v>
      </c>
      <c r="AK87" s="99">
        <v>0</v>
      </c>
      <c r="AL87" s="99">
        <v>0</v>
      </c>
      <c r="AM87" s="99">
        <v>0</v>
      </c>
      <c r="AN87" s="99">
        <v>0</v>
      </c>
      <c r="AO87" s="99">
        <v>0</v>
      </c>
      <c r="AP87" s="99">
        <v>0</v>
      </c>
      <c r="AQ87" s="99"/>
      <c r="AR87" s="99">
        <v>1763</v>
      </c>
      <c r="AS87" s="99">
        <v>8669</v>
      </c>
      <c r="AT87" s="99">
        <v>5706</v>
      </c>
      <c r="AU87" s="99" t="s">
        <v>1345</v>
      </c>
      <c r="AV87" s="99">
        <v>287.5</v>
      </c>
      <c r="AW87" s="99" t="s">
        <v>526</v>
      </c>
      <c r="AX87" s="99" t="s">
        <v>1786</v>
      </c>
    </row>
    <row r="88" spans="1:50" ht="18" customHeight="1" x14ac:dyDescent="0.25">
      <c r="A88" s="349" t="s">
        <v>201</v>
      </c>
      <c r="B88" s="99" t="s">
        <v>202</v>
      </c>
      <c r="C88" s="99" t="s">
        <v>45</v>
      </c>
      <c r="D88" s="99" t="s">
        <v>45</v>
      </c>
      <c r="E88" s="350">
        <v>40714</v>
      </c>
      <c r="F88" s="99" t="s">
        <v>1429</v>
      </c>
      <c r="G88" s="590"/>
      <c r="H88" s="99">
        <v>0</v>
      </c>
      <c r="I88" s="99"/>
      <c r="J88" s="99"/>
      <c r="K88" s="99" t="s">
        <v>1429</v>
      </c>
      <c r="L88" s="99">
        <v>0</v>
      </c>
      <c r="M88" s="99">
        <v>0</v>
      </c>
      <c r="N88" s="99"/>
      <c r="O88" s="99"/>
      <c r="P88" s="99" t="s">
        <v>37</v>
      </c>
      <c r="Q88" s="99" t="s">
        <v>1429</v>
      </c>
      <c r="R88" s="99"/>
      <c r="S88" s="99"/>
      <c r="T88" s="99"/>
      <c r="U88" s="99"/>
      <c r="V88" s="99" t="s">
        <v>31</v>
      </c>
      <c r="W88" s="99" t="s">
        <v>32</v>
      </c>
      <c r="X88" s="99" t="s">
        <v>37</v>
      </c>
      <c r="Y88" s="99">
        <v>0</v>
      </c>
      <c r="Z88" s="99">
        <v>0</v>
      </c>
      <c r="AA88" s="99">
        <v>580</v>
      </c>
      <c r="AB88" s="99">
        <v>0</v>
      </c>
      <c r="AC88" s="99">
        <v>0</v>
      </c>
      <c r="AD88" s="99">
        <v>0</v>
      </c>
      <c r="AE88" s="99">
        <v>0</v>
      </c>
      <c r="AF88" s="99">
        <v>0</v>
      </c>
      <c r="AG88" s="99">
        <v>0</v>
      </c>
      <c r="AH88" s="99">
        <v>0</v>
      </c>
      <c r="AI88" s="99">
        <v>24</v>
      </c>
      <c r="AJ88" s="99">
        <v>0</v>
      </c>
      <c r="AK88" s="99">
        <v>0</v>
      </c>
      <c r="AL88" s="99">
        <v>0</v>
      </c>
      <c r="AM88" s="99">
        <v>0</v>
      </c>
      <c r="AN88" s="99">
        <v>0</v>
      </c>
      <c r="AO88" s="99">
        <v>0</v>
      </c>
      <c r="AP88" s="99">
        <v>0</v>
      </c>
      <c r="AQ88" s="99"/>
      <c r="AR88" s="99">
        <v>0</v>
      </c>
      <c r="AS88" s="99">
        <v>0</v>
      </c>
      <c r="AT88" s="99">
        <v>0</v>
      </c>
      <c r="AU88" s="99" t="s">
        <v>1345</v>
      </c>
      <c r="AV88" s="99">
        <v>0</v>
      </c>
      <c r="AW88" s="99" t="s">
        <v>530</v>
      </c>
      <c r="AX88" s="99" t="s">
        <v>1041</v>
      </c>
    </row>
    <row r="89" spans="1:50" ht="18" customHeight="1" x14ac:dyDescent="0.25">
      <c r="A89" s="349" t="s">
        <v>603</v>
      </c>
      <c r="B89" s="99" t="s">
        <v>604</v>
      </c>
      <c r="C89" s="99" t="s">
        <v>35</v>
      </c>
      <c r="D89" s="99" t="s">
        <v>35</v>
      </c>
      <c r="E89" s="350">
        <v>42401</v>
      </c>
      <c r="F89" s="99" t="s">
        <v>1429</v>
      </c>
      <c r="G89" s="590" t="s">
        <v>55</v>
      </c>
      <c r="H89" s="99">
        <v>120</v>
      </c>
      <c r="I89" s="351">
        <v>0.375</v>
      </c>
      <c r="J89" s="351">
        <v>0.70833333333333337</v>
      </c>
      <c r="K89" s="99" t="s">
        <v>1429</v>
      </c>
      <c r="L89" s="99" t="s">
        <v>1435</v>
      </c>
      <c r="M89" s="99" t="s">
        <v>1456</v>
      </c>
      <c r="N89" s="99" t="s">
        <v>1791</v>
      </c>
      <c r="O89" s="99" t="s">
        <v>1524</v>
      </c>
      <c r="P89" s="99" t="s">
        <v>37</v>
      </c>
      <c r="Q89" s="99" t="s">
        <v>1429</v>
      </c>
      <c r="R89" s="99" t="s">
        <v>1792</v>
      </c>
      <c r="S89" s="99" t="s">
        <v>1496</v>
      </c>
      <c r="T89" s="350">
        <v>43830</v>
      </c>
      <c r="U89" s="99"/>
      <c r="V89" s="99" t="s">
        <v>31</v>
      </c>
      <c r="W89" s="99" t="s">
        <v>32</v>
      </c>
      <c r="X89" s="99" t="s">
        <v>37</v>
      </c>
      <c r="Y89" s="99">
        <v>9100</v>
      </c>
      <c r="Z89" s="99">
        <v>10</v>
      </c>
      <c r="AA89" s="99">
        <v>580</v>
      </c>
      <c r="AB89" s="99">
        <v>0</v>
      </c>
      <c r="AC89" s="99">
        <v>0</v>
      </c>
      <c r="AD89" s="99">
        <v>0</v>
      </c>
      <c r="AE89" s="99">
        <v>0</v>
      </c>
      <c r="AF89" s="99">
        <v>0</v>
      </c>
      <c r="AG89" s="99">
        <v>3203</v>
      </c>
      <c r="AH89" s="99">
        <v>60</v>
      </c>
      <c r="AI89" s="99">
        <v>24</v>
      </c>
      <c r="AJ89" s="99">
        <v>0</v>
      </c>
      <c r="AK89" s="99">
        <v>0</v>
      </c>
      <c r="AL89" s="99">
        <v>0</v>
      </c>
      <c r="AM89" s="99">
        <v>0</v>
      </c>
      <c r="AN89" s="99">
        <v>0</v>
      </c>
      <c r="AO89" s="99">
        <v>0</v>
      </c>
      <c r="AP89" s="99">
        <v>0</v>
      </c>
      <c r="AQ89" s="99"/>
      <c r="AR89" s="99">
        <v>1763</v>
      </c>
      <c r="AS89" s="99">
        <v>9003</v>
      </c>
      <c r="AT89" s="99">
        <v>97</v>
      </c>
      <c r="AU89" s="99" t="s">
        <v>1345</v>
      </c>
      <c r="AV89" s="99">
        <v>182</v>
      </c>
      <c r="AW89" s="99" t="s">
        <v>528</v>
      </c>
      <c r="AX89" s="99" t="s">
        <v>1046</v>
      </c>
    </row>
    <row r="90" spans="1:50" ht="18" customHeight="1" x14ac:dyDescent="0.25">
      <c r="A90" s="349" t="s">
        <v>203</v>
      </c>
      <c r="B90" s="99" t="s">
        <v>204</v>
      </c>
      <c r="C90" s="99" t="s">
        <v>417</v>
      </c>
      <c r="D90" s="99" t="s">
        <v>30</v>
      </c>
      <c r="E90" s="350">
        <v>40639</v>
      </c>
      <c r="F90" s="99" t="s">
        <v>1429</v>
      </c>
      <c r="G90" s="590" t="s">
        <v>417</v>
      </c>
      <c r="H90" s="99">
        <v>1440</v>
      </c>
      <c r="I90" s="351">
        <v>0.375</v>
      </c>
      <c r="J90" s="351">
        <v>0.70833333333333337</v>
      </c>
      <c r="K90" s="99" t="s">
        <v>1429</v>
      </c>
      <c r="L90" s="99" t="s">
        <v>1435</v>
      </c>
      <c r="M90" s="99">
        <v>0</v>
      </c>
      <c r="N90" s="99" t="s">
        <v>1841</v>
      </c>
      <c r="O90" s="99" t="s">
        <v>1524</v>
      </c>
      <c r="P90" s="99" t="s">
        <v>37</v>
      </c>
      <c r="Q90" s="99" t="s">
        <v>1429</v>
      </c>
      <c r="R90" s="99"/>
      <c r="S90" s="99" t="s">
        <v>1444</v>
      </c>
      <c r="T90" s="350">
        <v>43100</v>
      </c>
      <c r="U90" s="99"/>
      <c r="V90" s="99" t="s">
        <v>31</v>
      </c>
      <c r="W90" s="99" t="s">
        <v>32</v>
      </c>
      <c r="X90" s="99" t="s">
        <v>37</v>
      </c>
      <c r="Y90" s="99">
        <v>200</v>
      </c>
      <c r="Z90" s="99">
        <v>0</v>
      </c>
      <c r="AA90" s="99">
        <v>580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99">
        <v>240</v>
      </c>
      <c r="AH90" s="99">
        <v>10</v>
      </c>
      <c r="AI90" s="99">
        <v>24</v>
      </c>
      <c r="AJ90" s="99">
        <v>0</v>
      </c>
      <c r="AK90" s="99">
        <v>0</v>
      </c>
      <c r="AL90" s="99">
        <v>0</v>
      </c>
      <c r="AM90" s="99">
        <v>0</v>
      </c>
      <c r="AN90" s="99">
        <v>0</v>
      </c>
      <c r="AO90" s="99">
        <v>0</v>
      </c>
      <c r="AP90" s="99">
        <v>0</v>
      </c>
      <c r="AQ90" s="99"/>
      <c r="AR90" s="99">
        <v>0</v>
      </c>
      <c r="AS90" s="99">
        <v>240</v>
      </c>
      <c r="AT90" s="99">
        <v>-40</v>
      </c>
      <c r="AU90" s="99" t="s">
        <v>1345</v>
      </c>
      <c r="AV90" s="99">
        <v>4</v>
      </c>
      <c r="AW90" s="99" t="s">
        <v>529</v>
      </c>
      <c r="AX90" s="99" t="s">
        <v>1044</v>
      </c>
    </row>
    <row r="91" spans="1:50" ht="18" customHeight="1" x14ac:dyDescent="0.25">
      <c r="A91" s="349" t="s">
        <v>205</v>
      </c>
      <c r="B91" s="99" t="s">
        <v>206</v>
      </c>
      <c r="C91" s="99" t="s">
        <v>30</v>
      </c>
      <c r="D91" s="99" t="s">
        <v>30</v>
      </c>
      <c r="E91" s="350">
        <v>40897</v>
      </c>
      <c r="F91" s="99" t="s">
        <v>37</v>
      </c>
      <c r="G91" s="590" t="s">
        <v>44</v>
      </c>
      <c r="H91" s="99">
        <v>120</v>
      </c>
      <c r="I91" s="351">
        <v>0.375</v>
      </c>
      <c r="J91" s="351">
        <v>0.70833333333333337</v>
      </c>
      <c r="K91" s="99" t="s">
        <v>1429</v>
      </c>
      <c r="L91" s="99" t="s">
        <v>1435</v>
      </c>
      <c r="M91" s="352">
        <v>43292</v>
      </c>
      <c r="N91" s="99" t="s">
        <v>1546</v>
      </c>
      <c r="O91" s="99" t="s">
        <v>1524</v>
      </c>
      <c r="P91" s="99" t="s">
        <v>37</v>
      </c>
      <c r="Q91" s="99" t="s">
        <v>1429</v>
      </c>
      <c r="R91" s="99" t="s">
        <v>1547</v>
      </c>
      <c r="S91" s="99" t="s">
        <v>1444</v>
      </c>
      <c r="T91" s="99"/>
      <c r="U91" s="99"/>
      <c r="V91" s="99" t="s">
        <v>46</v>
      </c>
      <c r="W91" s="99" t="s">
        <v>32</v>
      </c>
      <c r="X91" s="99" t="s">
        <v>37</v>
      </c>
      <c r="Y91" s="99">
        <v>6591</v>
      </c>
      <c r="Z91" s="99">
        <v>1</v>
      </c>
      <c r="AA91" s="99">
        <v>580</v>
      </c>
      <c r="AB91" s="99">
        <v>0</v>
      </c>
      <c r="AC91" s="99">
        <v>1480</v>
      </c>
      <c r="AD91" s="99">
        <v>0</v>
      </c>
      <c r="AE91" s="99">
        <v>0</v>
      </c>
      <c r="AF91" s="99">
        <v>0</v>
      </c>
      <c r="AG91" s="99">
        <v>2363</v>
      </c>
      <c r="AH91" s="99">
        <v>25</v>
      </c>
      <c r="AI91" s="99">
        <v>24</v>
      </c>
      <c r="AJ91" s="99">
        <v>0</v>
      </c>
      <c r="AK91" s="99">
        <v>0</v>
      </c>
      <c r="AL91" s="99">
        <v>0</v>
      </c>
      <c r="AM91" s="99">
        <v>0</v>
      </c>
      <c r="AN91" s="99">
        <v>0</v>
      </c>
      <c r="AO91" s="99">
        <v>0</v>
      </c>
      <c r="AP91" s="99">
        <v>0</v>
      </c>
      <c r="AQ91" s="99" t="s">
        <v>47</v>
      </c>
      <c r="AR91" s="99">
        <v>1763</v>
      </c>
      <c r="AS91" s="99">
        <v>4423</v>
      </c>
      <c r="AT91" s="99">
        <v>2168</v>
      </c>
      <c r="AU91" s="99" t="s">
        <v>1345</v>
      </c>
      <c r="AV91" s="99">
        <v>131.82</v>
      </c>
      <c r="AW91" s="99" t="s">
        <v>527</v>
      </c>
      <c r="AX91" s="99" t="s">
        <v>1838</v>
      </c>
    </row>
    <row r="92" spans="1:50" ht="18" customHeight="1" x14ac:dyDescent="0.25">
      <c r="A92" s="349" t="s">
        <v>207</v>
      </c>
      <c r="B92" s="99" t="s">
        <v>208</v>
      </c>
      <c r="C92" s="99" t="s">
        <v>44</v>
      </c>
      <c r="D92" s="99" t="s">
        <v>30</v>
      </c>
      <c r="E92" s="350">
        <v>41640</v>
      </c>
      <c r="F92" s="99" t="s">
        <v>1429</v>
      </c>
      <c r="G92" s="590" t="s">
        <v>44</v>
      </c>
      <c r="H92" s="99">
        <v>240</v>
      </c>
      <c r="I92" s="351">
        <v>0.375</v>
      </c>
      <c r="J92" s="351">
        <v>0.70833333333333337</v>
      </c>
      <c r="K92" s="99" t="s">
        <v>1429</v>
      </c>
      <c r="L92" s="99" t="s">
        <v>1435</v>
      </c>
      <c r="M92" s="99">
        <v>95</v>
      </c>
      <c r="N92" s="99" t="s">
        <v>1864</v>
      </c>
      <c r="O92" s="99" t="s">
        <v>1524</v>
      </c>
      <c r="P92" s="99" t="s">
        <v>37</v>
      </c>
      <c r="Q92" s="99" t="s">
        <v>1429</v>
      </c>
      <c r="R92" s="99" t="s">
        <v>1548</v>
      </c>
      <c r="S92" s="99" t="s">
        <v>1453</v>
      </c>
      <c r="T92" s="99"/>
      <c r="U92" s="99"/>
      <c r="V92" s="99" t="s">
        <v>46</v>
      </c>
      <c r="W92" s="99" t="s">
        <v>32</v>
      </c>
      <c r="X92" s="99" t="s">
        <v>37</v>
      </c>
      <c r="Y92" s="99">
        <v>5000</v>
      </c>
      <c r="Z92" s="99">
        <v>3</v>
      </c>
      <c r="AA92" s="99">
        <v>580</v>
      </c>
      <c r="AB92" s="99">
        <v>0</v>
      </c>
      <c r="AC92" s="99">
        <v>1480</v>
      </c>
      <c r="AD92" s="99">
        <v>0</v>
      </c>
      <c r="AE92" s="99">
        <v>0</v>
      </c>
      <c r="AF92" s="99">
        <v>0</v>
      </c>
      <c r="AG92" s="99">
        <v>5363</v>
      </c>
      <c r="AH92" s="99">
        <v>150</v>
      </c>
      <c r="AI92" s="99">
        <v>24</v>
      </c>
      <c r="AJ92" s="99">
        <v>0</v>
      </c>
      <c r="AK92" s="99">
        <v>0</v>
      </c>
      <c r="AL92" s="99">
        <v>0</v>
      </c>
      <c r="AM92" s="99">
        <v>0</v>
      </c>
      <c r="AN92" s="99">
        <v>0</v>
      </c>
      <c r="AO92" s="99">
        <v>0</v>
      </c>
      <c r="AP92" s="99">
        <v>0</v>
      </c>
      <c r="AQ92" s="99" t="s">
        <v>47</v>
      </c>
      <c r="AR92" s="99">
        <v>1763</v>
      </c>
      <c r="AS92" s="99">
        <v>8583</v>
      </c>
      <c r="AT92" s="99">
        <v>-3583</v>
      </c>
      <c r="AU92" s="99" t="s">
        <v>1345</v>
      </c>
      <c r="AV92" s="99">
        <v>100</v>
      </c>
      <c r="AW92" s="99" t="s">
        <v>530</v>
      </c>
      <c r="AX92" s="99" t="s">
        <v>1861</v>
      </c>
    </row>
    <row r="93" spans="1:50" ht="18" customHeight="1" x14ac:dyDescent="0.25">
      <c r="A93" s="349" t="s">
        <v>209</v>
      </c>
      <c r="B93" s="99" t="s">
        <v>210</v>
      </c>
      <c r="C93" s="99" t="s">
        <v>55</v>
      </c>
      <c r="D93" s="99" t="s">
        <v>56</v>
      </c>
      <c r="E93" s="350">
        <v>41690</v>
      </c>
      <c r="F93" s="99" t="s">
        <v>1429</v>
      </c>
      <c r="G93" s="590" t="s">
        <v>55</v>
      </c>
      <c r="H93" s="99">
        <v>0</v>
      </c>
      <c r="I93" s="99"/>
      <c r="J93" s="99"/>
      <c r="K93" s="99" t="s">
        <v>1429</v>
      </c>
      <c r="L93" s="99">
        <v>0</v>
      </c>
      <c r="M93" s="99">
        <v>0</v>
      </c>
      <c r="N93" s="99"/>
      <c r="O93" s="99"/>
      <c r="P93" s="99" t="s">
        <v>37</v>
      </c>
      <c r="Q93" s="99" t="s">
        <v>1429</v>
      </c>
      <c r="R93" s="99"/>
      <c r="S93" s="99"/>
      <c r="T93" s="99"/>
      <c r="U93" s="99"/>
      <c r="V93" s="99" t="s">
        <v>31</v>
      </c>
      <c r="W93" s="99" t="s">
        <v>32</v>
      </c>
      <c r="X93" s="99" t="s">
        <v>37</v>
      </c>
      <c r="Y93" s="99">
        <v>300</v>
      </c>
      <c r="Z93" s="99">
        <v>0</v>
      </c>
      <c r="AA93" s="99">
        <v>580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1787</v>
      </c>
      <c r="AH93" s="99">
        <v>1</v>
      </c>
      <c r="AI93" s="99">
        <v>24</v>
      </c>
      <c r="AJ93" s="99">
        <v>0</v>
      </c>
      <c r="AK93" s="99">
        <v>0</v>
      </c>
      <c r="AL93" s="99">
        <v>0</v>
      </c>
      <c r="AM93" s="99">
        <v>0</v>
      </c>
      <c r="AN93" s="99">
        <v>0</v>
      </c>
      <c r="AO93" s="99">
        <v>0</v>
      </c>
      <c r="AP93" s="99">
        <v>0</v>
      </c>
      <c r="AQ93" s="99"/>
      <c r="AR93" s="99">
        <v>1763</v>
      </c>
      <c r="AS93" s="99">
        <v>1787</v>
      </c>
      <c r="AT93" s="99">
        <v>-1487</v>
      </c>
      <c r="AU93" s="99" t="s">
        <v>1345</v>
      </c>
      <c r="AV93" s="99">
        <v>6</v>
      </c>
      <c r="AW93" s="99" t="s">
        <v>530</v>
      </c>
      <c r="AX93" s="99" t="s">
        <v>1860</v>
      </c>
    </row>
    <row r="94" spans="1:50" ht="18" customHeight="1" x14ac:dyDescent="0.25">
      <c r="A94" s="349" t="s">
        <v>211</v>
      </c>
      <c r="B94" s="99" t="s">
        <v>212</v>
      </c>
      <c r="C94" s="99" t="s">
        <v>38</v>
      </c>
      <c r="D94" s="99" t="s">
        <v>38</v>
      </c>
      <c r="E94" s="350">
        <v>41932</v>
      </c>
      <c r="F94" s="99" t="s">
        <v>37</v>
      </c>
      <c r="G94" s="590" t="s">
        <v>545</v>
      </c>
      <c r="H94" s="99">
        <v>240</v>
      </c>
      <c r="I94" s="351">
        <v>0.375</v>
      </c>
      <c r="J94" s="351">
        <v>0.70833333333333337</v>
      </c>
      <c r="K94" s="99" t="s">
        <v>1429</v>
      </c>
      <c r="L94" s="99" t="s">
        <v>1435</v>
      </c>
      <c r="M94" s="99">
        <v>22</v>
      </c>
      <c r="N94" s="99" t="s">
        <v>1523</v>
      </c>
      <c r="O94" s="99" t="s">
        <v>1524</v>
      </c>
      <c r="P94" s="99" t="s">
        <v>37</v>
      </c>
      <c r="Q94" s="99" t="s">
        <v>1429</v>
      </c>
      <c r="R94" s="99" t="s">
        <v>1549</v>
      </c>
      <c r="S94" s="99" t="s">
        <v>1444</v>
      </c>
      <c r="T94" s="99"/>
      <c r="U94" s="99"/>
      <c r="V94" s="99" t="s">
        <v>46</v>
      </c>
      <c r="W94" s="99" t="s">
        <v>32</v>
      </c>
      <c r="X94" s="99" t="s">
        <v>37</v>
      </c>
      <c r="Y94" s="99">
        <v>6000</v>
      </c>
      <c r="Z94" s="99">
        <v>0</v>
      </c>
      <c r="AA94" s="99">
        <v>580</v>
      </c>
      <c r="AB94" s="99">
        <v>0</v>
      </c>
      <c r="AC94" s="99">
        <v>1480</v>
      </c>
      <c r="AD94" s="99">
        <v>0</v>
      </c>
      <c r="AE94" s="99">
        <v>0</v>
      </c>
      <c r="AF94" s="99">
        <v>0</v>
      </c>
      <c r="AG94" s="99">
        <v>2003</v>
      </c>
      <c r="AH94" s="99">
        <v>10</v>
      </c>
      <c r="AI94" s="99">
        <v>24</v>
      </c>
      <c r="AJ94" s="99">
        <v>0</v>
      </c>
      <c r="AK94" s="99">
        <v>0</v>
      </c>
      <c r="AL94" s="99">
        <v>0</v>
      </c>
      <c r="AM94" s="99">
        <v>0</v>
      </c>
      <c r="AN94" s="99">
        <v>0</v>
      </c>
      <c r="AO94" s="99">
        <v>0</v>
      </c>
      <c r="AP94" s="99">
        <v>0</v>
      </c>
      <c r="AQ94" s="99" t="s">
        <v>47</v>
      </c>
      <c r="AR94" s="99">
        <v>1763</v>
      </c>
      <c r="AS94" s="99">
        <v>3483</v>
      </c>
      <c r="AT94" s="99">
        <v>2517</v>
      </c>
      <c r="AU94" s="99" t="s">
        <v>1345</v>
      </c>
      <c r="AV94" s="99">
        <v>120</v>
      </c>
      <c r="AW94" s="99" t="s">
        <v>527</v>
      </c>
      <c r="AX94" s="99" t="s">
        <v>1856</v>
      </c>
    </row>
    <row r="95" spans="1:50" ht="18" customHeight="1" x14ac:dyDescent="0.25">
      <c r="A95" s="349" t="s">
        <v>635</v>
      </c>
      <c r="B95" s="99" t="s">
        <v>636</v>
      </c>
      <c r="C95" s="99" t="s">
        <v>35</v>
      </c>
      <c r="D95" s="99" t="s">
        <v>35</v>
      </c>
      <c r="E95" s="350">
        <v>42473</v>
      </c>
      <c r="F95" s="99" t="s">
        <v>1429</v>
      </c>
      <c r="G95" s="590" t="s">
        <v>545</v>
      </c>
      <c r="H95" s="99">
        <v>0</v>
      </c>
      <c r="I95" s="99"/>
      <c r="J95" s="99"/>
      <c r="K95" s="99" t="s">
        <v>1429</v>
      </c>
      <c r="L95" s="99">
        <v>0</v>
      </c>
      <c r="M95" s="99">
        <v>0</v>
      </c>
      <c r="N95" s="99"/>
      <c r="O95" s="99"/>
      <c r="P95" s="99" t="s">
        <v>37</v>
      </c>
      <c r="Q95" s="99" t="s">
        <v>1429</v>
      </c>
      <c r="R95" s="99" t="s">
        <v>1549</v>
      </c>
      <c r="S95" s="99"/>
      <c r="T95" s="99"/>
      <c r="U95" s="99"/>
      <c r="V95" s="99" t="s">
        <v>46</v>
      </c>
      <c r="W95" s="99" t="s">
        <v>32</v>
      </c>
      <c r="X95" s="99" t="s">
        <v>37</v>
      </c>
      <c r="Y95" s="99">
        <v>1000</v>
      </c>
      <c r="Z95" s="99">
        <v>0</v>
      </c>
      <c r="AA95" s="99">
        <v>580</v>
      </c>
      <c r="AB95" s="99">
        <v>0</v>
      </c>
      <c r="AC95" s="99">
        <v>1480</v>
      </c>
      <c r="AD95" s="99">
        <v>0</v>
      </c>
      <c r="AE95" s="99">
        <v>0</v>
      </c>
      <c r="AF95" s="99">
        <v>0</v>
      </c>
      <c r="AG95" s="99">
        <v>2003</v>
      </c>
      <c r="AH95" s="99">
        <v>10</v>
      </c>
      <c r="AI95" s="99">
        <v>24</v>
      </c>
      <c r="AJ95" s="99">
        <v>0</v>
      </c>
      <c r="AK95" s="99">
        <v>0</v>
      </c>
      <c r="AL95" s="99">
        <v>0</v>
      </c>
      <c r="AM95" s="99">
        <v>0</v>
      </c>
      <c r="AN95" s="99">
        <v>0</v>
      </c>
      <c r="AO95" s="99">
        <v>0</v>
      </c>
      <c r="AP95" s="99">
        <v>0</v>
      </c>
      <c r="AQ95" s="99" t="s">
        <v>576</v>
      </c>
      <c r="AR95" s="99">
        <v>1763</v>
      </c>
      <c r="AS95" s="99">
        <v>3483</v>
      </c>
      <c r="AT95" s="99">
        <v>-2483</v>
      </c>
      <c r="AU95" s="99" t="s">
        <v>1345</v>
      </c>
      <c r="AV95" s="99">
        <v>20</v>
      </c>
      <c r="AW95" s="99" t="s">
        <v>530</v>
      </c>
      <c r="AX95" s="99" t="s">
        <v>1424</v>
      </c>
    </row>
    <row r="96" spans="1:50" ht="18" customHeight="1" x14ac:dyDescent="0.25">
      <c r="A96" s="349" t="s">
        <v>795</v>
      </c>
      <c r="B96" s="99" t="s">
        <v>1132</v>
      </c>
      <c r="C96" s="99" t="s">
        <v>56</v>
      </c>
      <c r="D96" s="99" t="s">
        <v>56</v>
      </c>
      <c r="E96" s="350">
        <v>42576</v>
      </c>
      <c r="F96" s="99" t="s">
        <v>37</v>
      </c>
      <c r="G96" s="590" t="s">
        <v>66</v>
      </c>
      <c r="H96" s="99">
        <v>240</v>
      </c>
      <c r="I96" s="351">
        <v>0.375</v>
      </c>
      <c r="J96" s="351">
        <v>0.70833333333333337</v>
      </c>
      <c r="K96" s="99" t="s">
        <v>1429</v>
      </c>
      <c r="L96" s="99" t="s">
        <v>1435</v>
      </c>
      <c r="M96" s="352">
        <v>43202</v>
      </c>
      <c r="N96" s="99" t="s">
        <v>1550</v>
      </c>
      <c r="O96" s="99" t="s">
        <v>1524</v>
      </c>
      <c r="P96" s="99" t="s">
        <v>37</v>
      </c>
      <c r="Q96" s="99" t="s">
        <v>1429</v>
      </c>
      <c r="R96" s="99" t="s">
        <v>1551</v>
      </c>
      <c r="S96" s="99" t="s">
        <v>1444</v>
      </c>
      <c r="T96" s="99"/>
      <c r="U96" s="99"/>
      <c r="V96" s="99" t="s">
        <v>46</v>
      </c>
      <c r="W96" s="99" t="s">
        <v>32</v>
      </c>
      <c r="X96" s="99" t="s">
        <v>37</v>
      </c>
      <c r="Y96" s="99">
        <v>8000</v>
      </c>
      <c r="Z96" s="99">
        <v>1</v>
      </c>
      <c r="AA96" s="99">
        <v>580</v>
      </c>
      <c r="AB96" s="99">
        <v>0</v>
      </c>
      <c r="AC96" s="99">
        <v>1480</v>
      </c>
      <c r="AD96" s="99">
        <v>0</v>
      </c>
      <c r="AE96" s="99">
        <v>0</v>
      </c>
      <c r="AF96" s="99">
        <v>0</v>
      </c>
      <c r="AG96" s="99">
        <v>2123</v>
      </c>
      <c r="AH96" s="99">
        <v>15</v>
      </c>
      <c r="AI96" s="99">
        <v>24</v>
      </c>
      <c r="AJ96" s="99">
        <v>0</v>
      </c>
      <c r="AK96" s="99">
        <v>0</v>
      </c>
      <c r="AL96" s="99">
        <v>0</v>
      </c>
      <c r="AM96" s="99">
        <v>0</v>
      </c>
      <c r="AN96" s="99">
        <v>0</v>
      </c>
      <c r="AO96" s="99">
        <v>0</v>
      </c>
      <c r="AP96" s="99">
        <v>0</v>
      </c>
      <c r="AQ96" s="99"/>
      <c r="AR96" s="99">
        <v>1763</v>
      </c>
      <c r="AS96" s="99">
        <v>4183</v>
      </c>
      <c r="AT96" s="99">
        <v>3817</v>
      </c>
      <c r="AU96" s="99" t="s">
        <v>1345</v>
      </c>
      <c r="AV96" s="99">
        <v>160</v>
      </c>
      <c r="AW96" s="99" t="s">
        <v>527</v>
      </c>
      <c r="AX96" s="99" t="s">
        <v>1857</v>
      </c>
    </row>
    <row r="97" spans="1:50" ht="18" customHeight="1" x14ac:dyDescent="0.25">
      <c r="A97" s="349" t="s">
        <v>1267</v>
      </c>
      <c r="B97" s="99" t="s">
        <v>1268</v>
      </c>
      <c r="C97" s="99" t="s">
        <v>52</v>
      </c>
      <c r="D97" s="99" t="s">
        <v>56</v>
      </c>
      <c r="E97" s="350">
        <v>42688</v>
      </c>
      <c r="F97" s="99" t="s">
        <v>37</v>
      </c>
      <c r="G97" s="590" t="s">
        <v>52</v>
      </c>
      <c r="H97" s="99">
        <v>0</v>
      </c>
      <c r="I97" s="99"/>
      <c r="J97" s="99"/>
      <c r="K97" s="99" t="s">
        <v>1429</v>
      </c>
      <c r="L97" s="99">
        <v>0</v>
      </c>
      <c r="M97" s="99">
        <v>0</v>
      </c>
      <c r="N97" s="99"/>
      <c r="O97" s="99"/>
      <c r="P97" s="99" t="s">
        <v>37</v>
      </c>
      <c r="Q97" s="99" t="s">
        <v>37</v>
      </c>
      <c r="R97" s="99"/>
      <c r="S97" s="99"/>
      <c r="T97" s="99"/>
      <c r="U97" s="99"/>
      <c r="V97" s="99" t="s">
        <v>31</v>
      </c>
      <c r="W97" s="99" t="s">
        <v>32</v>
      </c>
      <c r="X97" s="99" t="s">
        <v>37</v>
      </c>
      <c r="Y97" s="99">
        <v>1500</v>
      </c>
      <c r="Z97" s="99"/>
      <c r="AA97" s="99">
        <v>580</v>
      </c>
      <c r="AB97" s="99">
        <v>0</v>
      </c>
      <c r="AC97" s="99">
        <v>0</v>
      </c>
      <c r="AD97" s="99">
        <v>0</v>
      </c>
      <c r="AE97" s="99">
        <v>0</v>
      </c>
      <c r="AF97" s="99">
        <v>0</v>
      </c>
      <c r="AG97" s="99">
        <v>0</v>
      </c>
      <c r="AH97" s="99">
        <v>0</v>
      </c>
      <c r="AI97" s="99">
        <v>24</v>
      </c>
      <c r="AJ97" s="99">
        <v>0</v>
      </c>
      <c r="AK97" s="99">
        <v>0</v>
      </c>
      <c r="AL97" s="99">
        <v>0</v>
      </c>
      <c r="AM97" s="99">
        <v>0</v>
      </c>
      <c r="AN97" s="99">
        <v>0</v>
      </c>
      <c r="AO97" s="99">
        <v>0</v>
      </c>
      <c r="AP97" s="99">
        <v>0</v>
      </c>
      <c r="AQ97" s="99"/>
      <c r="AR97" s="99">
        <v>0</v>
      </c>
      <c r="AS97" s="99">
        <v>0</v>
      </c>
      <c r="AT97" s="99">
        <v>1500</v>
      </c>
      <c r="AU97" s="99" t="s">
        <v>1345</v>
      </c>
      <c r="AV97" s="99">
        <v>30</v>
      </c>
      <c r="AW97" s="99" t="s">
        <v>527</v>
      </c>
      <c r="AX97" s="99" t="s">
        <v>1786</v>
      </c>
    </row>
    <row r="98" spans="1:50" ht="18" customHeight="1" x14ac:dyDescent="0.25">
      <c r="A98" s="349" t="s">
        <v>213</v>
      </c>
      <c r="B98" s="99" t="s">
        <v>214</v>
      </c>
      <c r="C98" s="99" t="s">
        <v>35</v>
      </c>
      <c r="D98" s="99" t="s">
        <v>35</v>
      </c>
      <c r="E98" s="350">
        <v>42138</v>
      </c>
      <c r="F98" s="99" t="s">
        <v>37</v>
      </c>
      <c r="G98" s="590" t="s">
        <v>66</v>
      </c>
      <c r="H98" s="99">
        <v>240</v>
      </c>
      <c r="I98" s="351">
        <v>0.375</v>
      </c>
      <c r="J98" s="351">
        <v>0.70833333333333337</v>
      </c>
      <c r="K98" s="99" t="s">
        <v>1429</v>
      </c>
      <c r="L98" s="99" t="s">
        <v>1435</v>
      </c>
      <c r="M98" s="352">
        <v>43289</v>
      </c>
      <c r="N98" s="99"/>
      <c r="O98" s="99" t="s">
        <v>1524</v>
      </c>
      <c r="P98" s="99" t="s">
        <v>37</v>
      </c>
      <c r="Q98" s="99" t="s">
        <v>1429</v>
      </c>
      <c r="R98" s="99" t="s">
        <v>1552</v>
      </c>
      <c r="S98" s="99" t="s">
        <v>1453</v>
      </c>
      <c r="T98" s="99"/>
      <c r="U98" s="99"/>
      <c r="V98" s="99" t="s">
        <v>46</v>
      </c>
      <c r="W98" s="99" t="s">
        <v>32</v>
      </c>
      <c r="X98" s="99" t="s">
        <v>37</v>
      </c>
      <c r="Y98" s="99">
        <v>6000</v>
      </c>
      <c r="Z98" s="99">
        <v>1</v>
      </c>
      <c r="AA98" s="99">
        <v>580</v>
      </c>
      <c r="AB98" s="99">
        <v>0</v>
      </c>
      <c r="AC98" s="99">
        <v>1480</v>
      </c>
      <c r="AD98" s="99">
        <v>0</v>
      </c>
      <c r="AE98" s="99">
        <v>0</v>
      </c>
      <c r="AF98" s="99">
        <v>0</v>
      </c>
      <c r="AG98" s="99">
        <v>2003</v>
      </c>
      <c r="AH98" s="99">
        <v>10</v>
      </c>
      <c r="AI98" s="99">
        <v>24</v>
      </c>
      <c r="AJ98" s="99">
        <v>0</v>
      </c>
      <c r="AK98" s="99">
        <v>0</v>
      </c>
      <c r="AL98" s="99">
        <v>0</v>
      </c>
      <c r="AM98" s="99">
        <v>0</v>
      </c>
      <c r="AN98" s="99">
        <v>0</v>
      </c>
      <c r="AO98" s="99">
        <v>0</v>
      </c>
      <c r="AP98" s="99">
        <v>0</v>
      </c>
      <c r="AQ98" s="99" t="s">
        <v>47</v>
      </c>
      <c r="AR98" s="99">
        <v>1763</v>
      </c>
      <c r="AS98" s="99">
        <v>4063</v>
      </c>
      <c r="AT98" s="99">
        <v>1937</v>
      </c>
      <c r="AU98" s="99" t="s">
        <v>1345</v>
      </c>
      <c r="AV98" s="99">
        <v>120</v>
      </c>
      <c r="AW98" s="99" t="s">
        <v>527</v>
      </c>
      <c r="AX98" s="99" t="s">
        <v>1858</v>
      </c>
    </row>
    <row r="99" spans="1:50" ht="18" customHeight="1" x14ac:dyDescent="0.25">
      <c r="A99" s="349" t="s">
        <v>1842</v>
      </c>
      <c r="B99" s="99" t="s">
        <v>1843</v>
      </c>
      <c r="C99" s="99" t="s">
        <v>30</v>
      </c>
      <c r="D99" s="99" t="s">
        <v>30</v>
      </c>
      <c r="E99" s="350">
        <v>42917</v>
      </c>
      <c r="F99" s="99" t="s">
        <v>37</v>
      </c>
      <c r="G99" s="590" t="s">
        <v>66</v>
      </c>
      <c r="H99" s="99">
        <v>240</v>
      </c>
      <c r="I99" s="351">
        <v>0.375</v>
      </c>
      <c r="J99" s="351">
        <v>0.70833333333333337</v>
      </c>
      <c r="K99" s="99" t="s">
        <v>1429</v>
      </c>
      <c r="L99" s="99" t="s">
        <v>1435</v>
      </c>
      <c r="M99" s="99">
        <v>0</v>
      </c>
      <c r="N99" s="99" t="s">
        <v>1844</v>
      </c>
      <c r="O99" s="99" t="s">
        <v>1524</v>
      </c>
      <c r="P99" s="99" t="s">
        <v>37</v>
      </c>
      <c r="Q99" s="99" t="s">
        <v>1429</v>
      </c>
      <c r="R99" s="99" t="s">
        <v>1845</v>
      </c>
      <c r="S99" s="99" t="s">
        <v>1444</v>
      </c>
      <c r="T99" s="99"/>
      <c r="U99" s="99"/>
      <c r="V99" s="99" t="s">
        <v>46</v>
      </c>
      <c r="W99" s="99" t="s">
        <v>32</v>
      </c>
      <c r="X99" s="99" t="s">
        <v>37</v>
      </c>
      <c r="Y99" s="99">
        <v>4000</v>
      </c>
      <c r="Z99" s="99">
        <v>1</v>
      </c>
      <c r="AA99" s="99">
        <v>580</v>
      </c>
      <c r="AB99" s="99">
        <v>0</v>
      </c>
      <c r="AC99" s="99">
        <v>1480</v>
      </c>
      <c r="AD99" s="99">
        <v>0</v>
      </c>
      <c r="AE99" s="99">
        <v>0</v>
      </c>
      <c r="AF99" s="99">
        <v>0</v>
      </c>
      <c r="AG99" s="99">
        <v>2243</v>
      </c>
      <c r="AH99" s="99">
        <v>20</v>
      </c>
      <c r="AI99" s="99">
        <v>24</v>
      </c>
      <c r="AJ99" s="99">
        <v>0</v>
      </c>
      <c r="AK99" s="99">
        <v>0</v>
      </c>
      <c r="AL99" s="99">
        <v>0</v>
      </c>
      <c r="AM99" s="99">
        <v>0</v>
      </c>
      <c r="AN99" s="99">
        <v>0</v>
      </c>
      <c r="AO99" s="99">
        <v>0</v>
      </c>
      <c r="AP99" s="99">
        <v>0</v>
      </c>
      <c r="AQ99" s="99" t="s">
        <v>576</v>
      </c>
      <c r="AR99" s="99">
        <v>1763</v>
      </c>
      <c r="AS99" s="99">
        <v>4303</v>
      </c>
      <c r="AT99" s="99">
        <v>-303</v>
      </c>
      <c r="AU99" s="99" t="s">
        <v>1345</v>
      </c>
      <c r="AV99" s="99">
        <v>80</v>
      </c>
      <c r="AW99" s="99" t="s">
        <v>528</v>
      </c>
      <c r="AX99" s="99" t="s">
        <v>1852</v>
      </c>
    </row>
    <row r="100" spans="1:50" ht="18" customHeight="1" x14ac:dyDescent="0.25">
      <c r="A100" s="349" t="s">
        <v>637</v>
      </c>
      <c r="B100" s="99" t="s">
        <v>638</v>
      </c>
      <c r="C100" s="99" t="s">
        <v>56</v>
      </c>
      <c r="D100" s="99" t="s">
        <v>56</v>
      </c>
      <c r="E100" s="350">
        <v>42491</v>
      </c>
      <c r="F100" s="99" t="s">
        <v>37</v>
      </c>
      <c r="G100" s="590" t="s">
        <v>66</v>
      </c>
      <c r="H100" s="99">
        <v>240</v>
      </c>
      <c r="I100" s="351">
        <v>0.375</v>
      </c>
      <c r="J100" s="351">
        <v>0.70833333333333337</v>
      </c>
      <c r="K100" s="99" t="s">
        <v>1429</v>
      </c>
      <c r="L100" s="99" t="s">
        <v>1435</v>
      </c>
      <c r="M100" s="352">
        <v>43223</v>
      </c>
      <c r="N100" s="99"/>
      <c r="O100" s="99" t="s">
        <v>1524</v>
      </c>
      <c r="P100" s="99" t="s">
        <v>37</v>
      </c>
      <c r="Q100" s="99" t="s">
        <v>1429</v>
      </c>
      <c r="R100" s="99" t="s">
        <v>1553</v>
      </c>
      <c r="S100" s="99" t="s">
        <v>1444</v>
      </c>
      <c r="T100" s="99"/>
      <c r="U100" s="99"/>
      <c r="V100" s="99" t="s">
        <v>46</v>
      </c>
      <c r="W100" s="99" t="s">
        <v>32</v>
      </c>
      <c r="X100" s="99" t="s">
        <v>37</v>
      </c>
      <c r="Y100" s="99">
        <v>3401</v>
      </c>
      <c r="Z100" s="99"/>
      <c r="AA100" s="99">
        <v>580</v>
      </c>
      <c r="AB100" s="99">
        <v>0</v>
      </c>
      <c r="AC100" s="99">
        <v>1480</v>
      </c>
      <c r="AD100" s="99">
        <v>0</v>
      </c>
      <c r="AE100" s="99">
        <v>0</v>
      </c>
      <c r="AF100" s="99">
        <v>0</v>
      </c>
      <c r="AG100" s="99">
        <v>1883</v>
      </c>
      <c r="AH100" s="99">
        <v>5</v>
      </c>
      <c r="AI100" s="99">
        <v>24</v>
      </c>
      <c r="AJ100" s="99">
        <v>0</v>
      </c>
      <c r="AK100" s="99">
        <v>0</v>
      </c>
      <c r="AL100" s="99">
        <v>0</v>
      </c>
      <c r="AM100" s="99">
        <v>0</v>
      </c>
      <c r="AN100" s="99">
        <v>0</v>
      </c>
      <c r="AO100" s="99">
        <v>0</v>
      </c>
      <c r="AP100" s="99">
        <v>0</v>
      </c>
      <c r="AQ100" s="99" t="s">
        <v>576</v>
      </c>
      <c r="AR100" s="99">
        <v>1763</v>
      </c>
      <c r="AS100" s="99">
        <v>3363</v>
      </c>
      <c r="AT100" s="99">
        <v>38</v>
      </c>
      <c r="AU100" s="99" t="s">
        <v>1345</v>
      </c>
      <c r="AV100" s="99">
        <v>68.02</v>
      </c>
      <c r="AW100" s="99" t="s">
        <v>528</v>
      </c>
      <c r="AX100" s="99" t="s">
        <v>1856</v>
      </c>
    </row>
    <row r="101" spans="1:50" ht="18" customHeight="1" x14ac:dyDescent="0.25">
      <c r="A101" s="349" t="s">
        <v>1876</v>
      </c>
      <c r="B101" s="99" t="s">
        <v>1877</v>
      </c>
      <c r="C101" s="99" t="s">
        <v>35</v>
      </c>
      <c r="D101" s="99" t="s">
        <v>35</v>
      </c>
      <c r="E101" s="350">
        <v>42990</v>
      </c>
      <c r="F101" s="99" t="s">
        <v>37</v>
      </c>
      <c r="G101" s="590" t="s">
        <v>545</v>
      </c>
      <c r="H101" s="99">
        <v>240</v>
      </c>
      <c r="I101" s="351">
        <v>0.375</v>
      </c>
      <c r="J101" s="351">
        <v>0.70833333333333337</v>
      </c>
      <c r="K101" s="99" t="s">
        <v>1429</v>
      </c>
      <c r="L101" s="99" t="s">
        <v>1435</v>
      </c>
      <c r="M101" s="99">
        <v>0</v>
      </c>
      <c r="N101" s="99" t="s">
        <v>1878</v>
      </c>
      <c r="O101" s="99" t="s">
        <v>1603</v>
      </c>
      <c r="P101" s="99" t="s">
        <v>37</v>
      </c>
      <c r="Q101" s="99" t="s">
        <v>1429</v>
      </c>
      <c r="R101" s="99"/>
      <c r="S101" s="99" t="s">
        <v>1444</v>
      </c>
      <c r="T101" s="99"/>
      <c r="U101" s="99"/>
      <c r="V101" s="99" t="s">
        <v>46</v>
      </c>
      <c r="W101" s="99" t="s">
        <v>32</v>
      </c>
      <c r="X101" s="99" t="s">
        <v>37</v>
      </c>
      <c r="Y101" s="99">
        <v>5000</v>
      </c>
      <c r="Z101" s="99">
        <v>1</v>
      </c>
      <c r="AA101" s="99">
        <v>580</v>
      </c>
      <c r="AB101" s="99">
        <v>0</v>
      </c>
      <c r="AC101" s="99">
        <v>1480</v>
      </c>
      <c r="AD101" s="99">
        <v>0</v>
      </c>
      <c r="AE101" s="99">
        <v>0</v>
      </c>
      <c r="AF101" s="99">
        <v>0</v>
      </c>
      <c r="AG101" s="99">
        <v>2483</v>
      </c>
      <c r="AH101" s="99">
        <v>30</v>
      </c>
      <c r="AI101" s="99">
        <v>24</v>
      </c>
      <c r="AJ101" s="99">
        <v>0</v>
      </c>
      <c r="AK101" s="99">
        <v>0</v>
      </c>
      <c r="AL101" s="99">
        <v>0</v>
      </c>
      <c r="AM101" s="99">
        <v>0</v>
      </c>
      <c r="AN101" s="99">
        <v>0</v>
      </c>
      <c r="AO101" s="99">
        <v>0</v>
      </c>
      <c r="AP101" s="99">
        <v>0</v>
      </c>
      <c r="AQ101" s="99" t="s">
        <v>47</v>
      </c>
      <c r="AR101" s="99">
        <v>1763</v>
      </c>
      <c r="AS101" s="99">
        <v>4543</v>
      </c>
      <c r="AT101" s="99">
        <v>457</v>
      </c>
      <c r="AU101" s="99" t="s">
        <v>1345</v>
      </c>
      <c r="AV101" s="99">
        <v>100</v>
      </c>
      <c r="AW101" s="99" t="s">
        <v>527</v>
      </c>
      <c r="AX101" s="99"/>
    </row>
    <row r="102" spans="1:50" ht="18" customHeight="1" x14ac:dyDescent="0.25">
      <c r="A102" s="349" t="s">
        <v>1282</v>
      </c>
      <c r="B102" s="99" t="s">
        <v>1283</v>
      </c>
      <c r="C102" s="99" t="s">
        <v>35</v>
      </c>
      <c r="D102" s="99" t="s">
        <v>35</v>
      </c>
      <c r="E102" s="350">
        <v>42705</v>
      </c>
      <c r="F102" s="99" t="s">
        <v>1429</v>
      </c>
      <c r="G102" s="590"/>
      <c r="H102" s="99">
        <v>0</v>
      </c>
      <c r="I102" s="99"/>
      <c r="J102" s="99"/>
      <c r="K102" s="99" t="s">
        <v>1429</v>
      </c>
      <c r="L102" s="99">
        <v>0</v>
      </c>
      <c r="M102" s="99">
        <v>0</v>
      </c>
      <c r="N102" s="99"/>
      <c r="O102" s="99"/>
      <c r="P102" s="99" t="s">
        <v>37</v>
      </c>
      <c r="Q102" s="99" t="s">
        <v>1429</v>
      </c>
      <c r="R102" s="99"/>
      <c r="S102" s="99"/>
      <c r="T102" s="350">
        <v>43069</v>
      </c>
      <c r="U102" s="99"/>
      <c r="V102" s="99"/>
      <c r="W102" s="99" t="s">
        <v>32</v>
      </c>
      <c r="X102" s="99" t="s">
        <v>37</v>
      </c>
      <c r="Y102" s="99">
        <v>800</v>
      </c>
      <c r="Z102" s="99"/>
      <c r="AA102" s="99">
        <v>580</v>
      </c>
      <c r="AB102" s="99">
        <v>0</v>
      </c>
      <c r="AC102" s="99">
        <v>0</v>
      </c>
      <c r="AD102" s="99">
        <v>0</v>
      </c>
      <c r="AE102" s="99">
        <v>0</v>
      </c>
      <c r="AF102" s="99">
        <v>0</v>
      </c>
      <c r="AG102" s="99">
        <v>1883</v>
      </c>
      <c r="AH102" s="99">
        <v>5</v>
      </c>
      <c r="AI102" s="99">
        <v>24</v>
      </c>
      <c r="AJ102" s="99">
        <v>0</v>
      </c>
      <c r="AK102" s="99">
        <v>0</v>
      </c>
      <c r="AL102" s="99">
        <v>0</v>
      </c>
      <c r="AM102" s="99">
        <v>0</v>
      </c>
      <c r="AN102" s="99">
        <v>0</v>
      </c>
      <c r="AO102" s="99">
        <v>0</v>
      </c>
      <c r="AP102" s="99">
        <v>0</v>
      </c>
      <c r="AQ102" s="99"/>
      <c r="AR102" s="99">
        <v>1763</v>
      </c>
      <c r="AS102" s="99">
        <v>1883</v>
      </c>
      <c r="AT102" s="99">
        <v>-1083</v>
      </c>
      <c r="AU102" s="99" t="s">
        <v>1345</v>
      </c>
      <c r="AV102" s="99">
        <v>16</v>
      </c>
      <c r="AW102" s="99" t="s">
        <v>530</v>
      </c>
      <c r="AX102" s="99" t="s">
        <v>1865</v>
      </c>
    </row>
    <row r="103" spans="1:50" ht="18" customHeight="1" x14ac:dyDescent="0.25">
      <c r="A103" s="349" t="s">
        <v>215</v>
      </c>
      <c r="B103" s="99" t="s">
        <v>216</v>
      </c>
      <c r="C103" s="99" t="s">
        <v>30</v>
      </c>
      <c r="D103" s="99" t="s">
        <v>30</v>
      </c>
      <c r="E103" s="350">
        <v>41278</v>
      </c>
      <c r="F103" s="99" t="s">
        <v>1429</v>
      </c>
      <c r="G103" s="590" t="s">
        <v>272</v>
      </c>
      <c r="H103" s="99">
        <v>0</v>
      </c>
      <c r="I103" s="99"/>
      <c r="J103" s="99"/>
      <c r="K103" s="99" t="s">
        <v>1429</v>
      </c>
      <c r="L103" s="99">
        <v>0</v>
      </c>
      <c r="M103" s="99">
        <v>0</v>
      </c>
      <c r="N103" s="99"/>
      <c r="O103" s="99"/>
      <c r="P103" s="99" t="s">
        <v>37</v>
      </c>
      <c r="Q103" s="99" t="s">
        <v>1429</v>
      </c>
      <c r="R103" s="99"/>
      <c r="S103" s="99"/>
      <c r="T103" s="99"/>
      <c r="U103" s="99"/>
      <c r="V103" s="99" t="s">
        <v>46</v>
      </c>
      <c r="W103" s="99" t="s">
        <v>32</v>
      </c>
      <c r="X103" s="99" t="s">
        <v>37</v>
      </c>
      <c r="Y103" s="99">
        <v>7000</v>
      </c>
      <c r="Z103" s="99">
        <v>1</v>
      </c>
      <c r="AA103" s="99">
        <v>580</v>
      </c>
      <c r="AB103" s="99">
        <v>0</v>
      </c>
      <c r="AC103" s="99">
        <v>1480</v>
      </c>
      <c r="AD103" s="99">
        <v>0</v>
      </c>
      <c r="AE103" s="99">
        <v>0</v>
      </c>
      <c r="AF103" s="99">
        <v>0</v>
      </c>
      <c r="AG103" s="99">
        <v>2123</v>
      </c>
      <c r="AH103" s="99">
        <v>15</v>
      </c>
      <c r="AI103" s="99">
        <v>24</v>
      </c>
      <c r="AJ103" s="99">
        <v>0</v>
      </c>
      <c r="AK103" s="99">
        <v>0</v>
      </c>
      <c r="AL103" s="99">
        <v>0</v>
      </c>
      <c r="AM103" s="99">
        <v>0</v>
      </c>
      <c r="AN103" s="99">
        <v>0</v>
      </c>
      <c r="AO103" s="99">
        <v>0</v>
      </c>
      <c r="AP103" s="99">
        <v>0</v>
      </c>
      <c r="AQ103" s="99" t="s">
        <v>47</v>
      </c>
      <c r="AR103" s="99">
        <v>1763</v>
      </c>
      <c r="AS103" s="99">
        <v>4183</v>
      </c>
      <c r="AT103" s="99">
        <v>2817</v>
      </c>
      <c r="AU103" s="99" t="s">
        <v>1345</v>
      </c>
      <c r="AV103" s="99">
        <v>140</v>
      </c>
      <c r="AW103" s="99" t="s">
        <v>527</v>
      </c>
      <c r="AX103" s="99" t="s">
        <v>1855</v>
      </c>
    </row>
    <row r="104" spans="1:50" ht="18" customHeight="1" x14ac:dyDescent="0.25">
      <c r="A104" s="349" t="s">
        <v>217</v>
      </c>
      <c r="B104" s="99" t="s">
        <v>218</v>
      </c>
      <c r="C104" s="99" t="s">
        <v>66</v>
      </c>
      <c r="D104" s="99" t="s">
        <v>38</v>
      </c>
      <c r="E104" s="350">
        <v>42248</v>
      </c>
      <c r="F104" s="99" t="s">
        <v>37</v>
      </c>
      <c r="G104" s="590" t="s">
        <v>66</v>
      </c>
      <c r="H104" s="99">
        <v>240</v>
      </c>
      <c r="I104" s="351">
        <v>0.375</v>
      </c>
      <c r="J104" s="351">
        <v>0.70833333333333337</v>
      </c>
      <c r="K104" s="99" t="s">
        <v>1429</v>
      </c>
      <c r="L104" s="99" t="s">
        <v>1435</v>
      </c>
      <c r="M104" s="352">
        <v>43143</v>
      </c>
      <c r="N104" s="99" t="s">
        <v>1523</v>
      </c>
      <c r="O104" s="99" t="s">
        <v>1524</v>
      </c>
      <c r="P104" s="99" t="s">
        <v>37</v>
      </c>
      <c r="Q104" s="99" t="s">
        <v>1429</v>
      </c>
      <c r="R104" s="99" t="s">
        <v>1554</v>
      </c>
      <c r="S104" s="99" t="s">
        <v>1444</v>
      </c>
      <c r="T104" s="99"/>
      <c r="U104" s="99"/>
      <c r="V104" s="99" t="s">
        <v>46</v>
      </c>
      <c r="W104" s="99" t="s">
        <v>32</v>
      </c>
      <c r="X104" s="99" t="s">
        <v>37</v>
      </c>
      <c r="Y104" s="99">
        <v>8000</v>
      </c>
      <c r="Z104" s="99">
        <v>0</v>
      </c>
      <c r="AA104" s="99">
        <v>580</v>
      </c>
      <c r="AB104" s="99">
        <v>0</v>
      </c>
      <c r="AC104" s="99">
        <v>1480</v>
      </c>
      <c r="AD104" s="99">
        <v>0</v>
      </c>
      <c r="AE104" s="99">
        <v>0</v>
      </c>
      <c r="AF104" s="99">
        <v>0</v>
      </c>
      <c r="AG104" s="99">
        <v>2723</v>
      </c>
      <c r="AH104" s="99">
        <v>40</v>
      </c>
      <c r="AI104" s="99">
        <v>24</v>
      </c>
      <c r="AJ104" s="99">
        <v>0</v>
      </c>
      <c r="AK104" s="99">
        <v>0</v>
      </c>
      <c r="AL104" s="99">
        <v>0</v>
      </c>
      <c r="AM104" s="99">
        <v>0</v>
      </c>
      <c r="AN104" s="99">
        <v>0</v>
      </c>
      <c r="AO104" s="99">
        <v>0</v>
      </c>
      <c r="AP104" s="99">
        <v>0</v>
      </c>
      <c r="AQ104" s="99" t="s">
        <v>576</v>
      </c>
      <c r="AR104" s="99">
        <v>1763</v>
      </c>
      <c r="AS104" s="99">
        <v>4203</v>
      </c>
      <c r="AT104" s="99">
        <v>3797</v>
      </c>
      <c r="AU104" s="99" t="s">
        <v>1345</v>
      </c>
      <c r="AV104" s="99">
        <v>160</v>
      </c>
      <c r="AW104" s="99" t="s">
        <v>527</v>
      </c>
      <c r="AX104" s="99" t="s">
        <v>1057</v>
      </c>
    </row>
    <row r="105" spans="1:50" ht="18" customHeight="1" x14ac:dyDescent="0.25">
      <c r="A105" s="349" t="s">
        <v>219</v>
      </c>
      <c r="B105" s="99" t="s">
        <v>220</v>
      </c>
      <c r="C105" s="99" t="s">
        <v>38</v>
      </c>
      <c r="D105" s="99" t="s">
        <v>38</v>
      </c>
      <c r="E105" s="350">
        <v>41821</v>
      </c>
      <c r="F105" s="99" t="s">
        <v>1429</v>
      </c>
      <c r="G105" s="590" t="s">
        <v>272</v>
      </c>
      <c r="H105" s="99">
        <v>240</v>
      </c>
      <c r="I105" s="351">
        <v>0.375</v>
      </c>
      <c r="J105" s="351">
        <v>0.70833333333333337</v>
      </c>
      <c r="K105" s="99" t="s">
        <v>1429</v>
      </c>
      <c r="L105" s="99" t="s">
        <v>1435</v>
      </c>
      <c r="M105" s="99">
        <v>0</v>
      </c>
      <c r="N105" s="99" t="s">
        <v>1531</v>
      </c>
      <c r="O105" s="99" t="s">
        <v>1524</v>
      </c>
      <c r="P105" s="99" t="s">
        <v>37</v>
      </c>
      <c r="Q105" s="99" t="s">
        <v>1429</v>
      </c>
      <c r="R105" s="99" t="s">
        <v>1555</v>
      </c>
      <c r="S105" s="99" t="s">
        <v>1444</v>
      </c>
      <c r="T105" s="99"/>
      <c r="U105" s="99"/>
      <c r="V105" s="99" t="s">
        <v>46</v>
      </c>
      <c r="W105" s="99" t="s">
        <v>32</v>
      </c>
      <c r="X105" s="99" t="s">
        <v>37</v>
      </c>
      <c r="Y105" s="99">
        <v>8000</v>
      </c>
      <c r="Z105" s="99">
        <v>2</v>
      </c>
      <c r="AA105" s="99">
        <v>580</v>
      </c>
      <c r="AB105" s="99">
        <v>0</v>
      </c>
      <c r="AC105" s="99">
        <v>1480</v>
      </c>
      <c r="AD105" s="99">
        <v>0</v>
      </c>
      <c r="AE105" s="99">
        <v>0</v>
      </c>
      <c r="AF105" s="99">
        <v>0</v>
      </c>
      <c r="AG105" s="99">
        <v>5363</v>
      </c>
      <c r="AH105" s="99">
        <v>150</v>
      </c>
      <c r="AI105" s="99">
        <v>24</v>
      </c>
      <c r="AJ105" s="99">
        <v>0</v>
      </c>
      <c r="AK105" s="99">
        <v>0</v>
      </c>
      <c r="AL105" s="99">
        <v>0</v>
      </c>
      <c r="AM105" s="99">
        <v>0</v>
      </c>
      <c r="AN105" s="99">
        <v>0</v>
      </c>
      <c r="AO105" s="99">
        <v>0</v>
      </c>
      <c r="AP105" s="99">
        <v>0</v>
      </c>
      <c r="AQ105" s="99" t="s">
        <v>47</v>
      </c>
      <c r="AR105" s="99">
        <v>1763</v>
      </c>
      <c r="AS105" s="99">
        <v>8003</v>
      </c>
      <c r="AT105" s="99">
        <v>-3</v>
      </c>
      <c r="AU105" s="99" t="s">
        <v>1345</v>
      </c>
      <c r="AV105" s="99">
        <v>160</v>
      </c>
      <c r="AW105" s="99" t="s">
        <v>676</v>
      </c>
      <c r="AX105" s="99" t="s">
        <v>1856</v>
      </c>
    </row>
    <row r="106" spans="1:50" ht="18" customHeight="1" x14ac:dyDescent="0.25">
      <c r="A106" s="349" t="s">
        <v>221</v>
      </c>
      <c r="B106" s="99" t="s">
        <v>222</v>
      </c>
      <c r="C106" s="99" t="s">
        <v>29</v>
      </c>
      <c r="D106" s="99" t="s">
        <v>56</v>
      </c>
      <c r="E106" s="350">
        <v>41131</v>
      </c>
      <c r="F106" s="99" t="s">
        <v>1429</v>
      </c>
      <c r="G106" s="590" t="s">
        <v>29</v>
      </c>
      <c r="H106" s="99">
        <v>0</v>
      </c>
      <c r="I106" s="99"/>
      <c r="J106" s="99"/>
      <c r="K106" s="99" t="s">
        <v>1429</v>
      </c>
      <c r="L106" s="99">
        <v>0</v>
      </c>
      <c r="M106" s="99">
        <v>0</v>
      </c>
      <c r="N106" s="99"/>
      <c r="O106" s="99"/>
      <c r="P106" s="99" t="s">
        <v>37</v>
      </c>
      <c r="Q106" s="99" t="s">
        <v>1429</v>
      </c>
      <c r="R106" s="99"/>
      <c r="S106" s="99"/>
      <c r="T106" s="99"/>
      <c r="U106" s="99"/>
      <c r="V106" s="99" t="s">
        <v>31</v>
      </c>
      <c r="W106" s="99" t="s">
        <v>32</v>
      </c>
      <c r="X106" s="99" t="s">
        <v>37</v>
      </c>
      <c r="Y106" s="99">
        <v>1432</v>
      </c>
      <c r="Z106" s="99">
        <v>0</v>
      </c>
      <c r="AA106" s="99">
        <v>580</v>
      </c>
      <c r="AB106" s="99">
        <v>0</v>
      </c>
      <c r="AC106" s="99">
        <v>0</v>
      </c>
      <c r="AD106" s="99">
        <v>0</v>
      </c>
      <c r="AE106" s="99">
        <v>0</v>
      </c>
      <c r="AF106" s="99">
        <v>0</v>
      </c>
      <c r="AG106" s="99">
        <v>2723</v>
      </c>
      <c r="AH106" s="99">
        <v>40</v>
      </c>
      <c r="AI106" s="99">
        <v>24</v>
      </c>
      <c r="AJ106" s="99">
        <v>0</v>
      </c>
      <c r="AK106" s="99">
        <v>0</v>
      </c>
      <c r="AL106" s="99">
        <v>0</v>
      </c>
      <c r="AM106" s="99">
        <v>0</v>
      </c>
      <c r="AN106" s="99">
        <v>0</v>
      </c>
      <c r="AO106" s="99">
        <v>0</v>
      </c>
      <c r="AP106" s="99">
        <v>0</v>
      </c>
      <c r="AQ106" s="99"/>
      <c r="AR106" s="99">
        <v>1763</v>
      </c>
      <c r="AS106" s="99">
        <v>2723</v>
      </c>
      <c r="AT106" s="99">
        <v>-1291</v>
      </c>
      <c r="AU106" s="99" t="s">
        <v>1345</v>
      </c>
      <c r="AV106" s="99">
        <v>28.64</v>
      </c>
      <c r="AW106" s="99" t="s">
        <v>530</v>
      </c>
      <c r="AX106" s="99" t="s">
        <v>1188</v>
      </c>
    </row>
    <row r="107" spans="1:50" ht="18" customHeight="1" x14ac:dyDescent="0.25">
      <c r="A107" s="349" t="s">
        <v>223</v>
      </c>
      <c r="B107" s="99" t="s">
        <v>224</v>
      </c>
      <c r="C107" s="99" t="s">
        <v>30</v>
      </c>
      <c r="D107" s="99" t="s">
        <v>30</v>
      </c>
      <c r="E107" s="350">
        <v>41685</v>
      </c>
      <c r="F107" s="99" t="s">
        <v>37</v>
      </c>
      <c r="G107" s="590" t="s">
        <v>272</v>
      </c>
      <c r="H107" s="99">
        <v>240</v>
      </c>
      <c r="I107" s="351">
        <v>0.375</v>
      </c>
      <c r="J107" s="351">
        <v>0.70833333333333337</v>
      </c>
      <c r="K107" s="99" t="s">
        <v>1429</v>
      </c>
      <c r="L107" s="99" t="s">
        <v>1435</v>
      </c>
      <c r="M107" s="99">
        <v>22</v>
      </c>
      <c r="N107" s="99"/>
      <c r="O107" s="99" t="s">
        <v>1524</v>
      </c>
      <c r="P107" s="99" t="s">
        <v>37</v>
      </c>
      <c r="Q107" s="99" t="s">
        <v>1429</v>
      </c>
      <c r="R107" s="99" t="s">
        <v>1556</v>
      </c>
      <c r="S107" s="99" t="s">
        <v>1444</v>
      </c>
      <c r="T107" s="99"/>
      <c r="U107" s="99"/>
      <c r="V107" s="99" t="s">
        <v>46</v>
      </c>
      <c r="W107" s="99" t="s">
        <v>32</v>
      </c>
      <c r="X107" s="99" t="s">
        <v>37</v>
      </c>
      <c r="Y107" s="99">
        <v>5500</v>
      </c>
      <c r="Z107" s="99">
        <v>1</v>
      </c>
      <c r="AA107" s="99">
        <v>580</v>
      </c>
      <c r="AB107" s="99">
        <v>0</v>
      </c>
      <c r="AC107" s="99">
        <v>1480</v>
      </c>
      <c r="AD107" s="99">
        <v>0</v>
      </c>
      <c r="AE107" s="99">
        <v>0</v>
      </c>
      <c r="AF107" s="99">
        <v>0</v>
      </c>
      <c r="AG107" s="99">
        <v>2363</v>
      </c>
      <c r="AH107" s="99">
        <v>25</v>
      </c>
      <c r="AI107" s="99">
        <v>24</v>
      </c>
      <c r="AJ107" s="99">
        <v>0</v>
      </c>
      <c r="AK107" s="99">
        <v>0</v>
      </c>
      <c r="AL107" s="99">
        <v>0</v>
      </c>
      <c r="AM107" s="99">
        <v>0</v>
      </c>
      <c r="AN107" s="99">
        <v>0</v>
      </c>
      <c r="AO107" s="99">
        <v>0</v>
      </c>
      <c r="AP107" s="99">
        <v>0</v>
      </c>
      <c r="AQ107" s="99" t="s">
        <v>47</v>
      </c>
      <c r="AR107" s="99">
        <v>1763</v>
      </c>
      <c r="AS107" s="99">
        <v>4423</v>
      </c>
      <c r="AT107" s="99">
        <v>1077</v>
      </c>
      <c r="AU107" s="99" t="s">
        <v>1345</v>
      </c>
      <c r="AV107" s="99">
        <v>110</v>
      </c>
      <c r="AW107" s="99" t="s">
        <v>527</v>
      </c>
      <c r="AX107" s="99" t="s">
        <v>1858</v>
      </c>
    </row>
    <row r="108" spans="1:50" ht="18" customHeight="1" x14ac:dyDescent="0.25">
      <c r="A108" s="349" t="s">
        <v>225</v>
      </c>
      <c r="B108" s="99" t="s">
        <v>226</v>
      </c>
      <c r="C108" s="99" t="s">
        <v>35</v>
      </c>
      <c r="D108" s="99" t="s">
        <v>35</v>
      </c>
      <c r="E108" s="350">
        <v>42095</v>
      </c>
      <c r="F108" s="99" t="s">
        <v>37</v>
      </c>
      <c r="G108" s="590" t="s">
        <v>44</v>
      </c>
      <c r="H108" s="99">
        <v>240</v>
      </c>
      <c r="I108" s="351">
        <v>0.375</v>
      </c>
      <c r="J108" s="351">
        <v>0.70833333333333337</v>
      </c>
      <c r="K108" s="99" t="s">
        <v>1429</v>
      </c>
      <c r="L108" s="99" t="s">
        <v>1435</v>
      </c>
      <c r="M108" s="352">
        <v>43352</v>
      </c>
      <c r="N108" s="99"/>
      <c r="O108" s="99" t="s">
        <v>1524</v>
      </c>
      <c r="P108" s="99" t="s">
        <v>37</v>
      </c>
      <c r="Q108" s="99" t="s">
        <v>1429</v>
      </c>
      <c r="R108" s="99" t="s">
        <v>1557</v>
      </c>
      <c r="S108" s="99" t="s">
        <v>1453</v>
      </c>
      <c r="T108" s="99"/>
      <c r="U108" s="99"/>
      <c r="V108" s="99" t="s">
        <v>46</v>
      </c>
      <c r="W108" s="99" t="s">
        <v>32</v>
      </c>
      <c r="X108" s="99" t="s">
        <v>37</v>
      </c>
      <c r="Y108" s="99">
        <v>7400</v>
      </c>
      <c r="Z108" s="99">
        <v>0</v>
      </c>
      <c r="AA108" s="99">
        <v>580</v>
      </c>
      <c r="AB108" s="99">
        <v>0</v>
      </c>
      <c r="AC108" s="99">
        <v>1480</v>
      </c>
      <c r="AD108" s="99">
        <v>0</v>
      </c>
      <c r="AE108" s="99">
        <v>0</v>
      </c>
      <c r="AF108" s="99">
        <v>0</v>
      </c>
      <c r="AG108" s="99">
        <v>2003</v>
      </c>
      <c r="AH108" s="99">
        <v>10</v>
      </c>
      <c r="AI108" s="99">
        <v>24</v>
      </c>
      <c r="AJ108" s="99">
        <v>0</v>
      </c>
      <c r="AK108" s="99">
        <v>0</v>
      </c>
      <c r="AL108" s="99">
        <v>0</v>
      </c>
      <c r="AM108" s="99">
        <v>0</v>
      </c>
      <c r="AN108" s="99">
        <v>0</v>
      </c>
      <c r="AO108" s="99">
        <v>0</v>
      </c>
      <c r="AP108" s="99">
        <v>0</v>
      </c>
      <c r="AQ108" s="99" t="s">
        <v>47</v>
      </c>
      <c r="AR108" s="99">
        <v>1763</v>
      </c>
      <c r="AS108" s="99">
        <v>3483</v>
      </c>
      <c r="AT108" s="99">
        <v>3917</v>
      </c>
      <c r="AU108" s="99" t="s">
        <v>1345</v>
      </c>
      <c r="AV108" s="99">
        <v>148</v>
      </c>
      <c r="AW108" s="99" t="s">
        <v>527</v>
      </c>
      <c r="AX108" s="99" t="s">
        <v>1866</v>
      </c>
    </row>
    <row r="109" spans="1:50" ht="18" customHeight="1" x14ac:dyDescent="0.25">
      <c r="A109" s="349" t="s">
        <v>227</v>
      </c>
      <c r="B109" s="99" t="s">
        <v>228</v>
      </c>
      <c r="C109" s="99" t="s">
        <v>44</v>
      </c>
      <c r="D109" s="99" t="s">
        <v>35</v>
      </c>
      <c r="E109" s="350">
        <v>41548</v>
      </c>
      <c r="F109" s="99" t="s">
        <v>1429</v>
      </c>
      <c r="G109" s="590"/>
      <c r="H109" s="99"/>
      <c r="I109" s="99"/>
      <c r="J109" s="99"/>
      <c r="K109" s="99" t="s">
        <v>1429</v>
      </c>
      <c r="L109" s="99"/>
      <c r="M109" s="99"/>
      <c r="N109" s="99"/>
      <c r="O109" s="99"/>
      <c r="P109" s="99" t="s">
        <v>37</v>
      </c>
      <c r="Q109" s="99" t="s">
        <v>1429</v>
      </c>
      <c r="R109" s="99"/>
      <c r="S109" s="99"/>
      <c r="T109" s="99"/>
      <c r="U109" s="99"/>
      <c r="V109" s="99" t="s">
        <v>46</v>
      </c>
      <c r="W109" s="99" t="s">
        <v>32</v>
      </c>
      <c r="X109" s="99" t="s">
        <v>37</v>
      </c>
      <c r="Y109" s="99">
        <v>700</v>
      </c>
      <c r="Z109" s="99"/>
      <c r="AA109" s="99">
        <v>580</v>
      </c>
      <c r="AB109" s="99">
        <v>0</v>
      </c>
      <c r="AC109" s="99">
        <v>0</v>
      </c>
      <c r="AD109" s="99">
        <v>0</v>
      </c>
      <c r="AE109" s="99">
        <v>0</v>
      </c>
      <c r="AF109" s="99">
        <v>0</v>
      </c>
      <c r="AG109" s="99">
        <v>240</v>
      </c>
      <c r="AH109" s="99">
        <v>10</v>
      </c>
      <c r="AI109" s="99">
        <v>24</v>
      </c>
      <c r="AJ109" s="99">
        <v>0</v>
      </c>
      <c r="AK109" s="99">
        <v>0</v>
      </c>
      <c r="AL109" s="99">
        <v>0</v>
      </c>
      <c r="AM109" s="99">
        <v>0</v>
      </c>
      <c r="AN109" s="99">
        <v>0</v>
      </c>
      <c r="AO109" s="99">
        <v>0</v>
      </c>
      <c r="AP109" s="99">
        <v>0</v>
      </c>
      <c r="AQ109" s="99" t="s">
        <v>47</v>
      </c>
      <c r="AR109" s="99">
        <v>0</v>
      </c>
      <c r="AS109" s="99">
        <v>240</v>
      </c>
      <c r="AT109" s="99">
        <v>460</v>
      </c>
      <c r="AU109" s="99" t="s">
        <v>1345</v>
      </c>
      <c r="AV109" s="99">
        <v>14</v>
      </c>
      <c r="AW109" s="99" t="s">
        <v>528</v>
      </c>
      <c r="AX109" s="99"/>
    </row>
    <row r="110" spans="1:50" ht="18" customHeight="1" x14ac:dyDescent="0.25">
      <c r="A110" s="349" t="s">
        <v>853</v>
      </c>
      <c r="B110" s="99" t="s">
        <v>854</v>
      </c>
      <c r="C110" s="99" t="s">
        <v>35</v>
      </c>
      <c r="D110" s="99" t="s">
        <v>35</v>
      </c>
      <c r="E110" s="350">
        <v>42614</v>
      </c>
      <c r="F110" s="99" t="s">
        <v>37</v>
      </c>
      <c r="G110" s="590" t="s">
        <v>544</v>
      </c>
      <c r="H110" s="99">
        <v>240</v>
      </c>
      <c r="I110" s="351">
        <v>0.375</v>
      </c>
      <c r="J110" s="351">
        <v>0.70833333333333337</v>
      </c>
      <c r="K110" s="99" t="s">
        <v>1429</v>
      </c>
      <c r="L110" s="99" t="s">
        <v>1435</v>
      </c>
      <c r="M110" s="99">
        <v>3</v>
      </c>
      <c r="N110" s="99" t="s">
        <v>1558</v>
      </c>
      <c r="O110" s="99" t="s">
        <v>1524</v>
      </c>
      <c r="P110" s="99" t="s">
        <v>37</v>
      </c>
      <c r="Q110" s="99" t="s">
        <v>1429</v>
      </c>
      <c r="R110" s="99" t="s">
        <v>1559</v>
      </c>
      <c r="S110" s="99" t="s">
        <v>1444</v>
      </c>
      <c r="T110" s="99"/>
      <c r="U110" s="99"/>
      <c r="V110" s="99" t="s">
        <v>46</v>
      </c>
      <c r="W110" s="99" t="s">
        <v>32</v>
      </c>
      <c r="X110" s="99" t="s">
        <v>37</v>
      </c>
      <c r="Y110" s="99">
        <v>6000</v>
      </c>
      <c r="Z110" s="99">
        <v>1</v>
      </c>
      <c r="AA110" s="99">
        <v>580</v>
      </c>
      <c r="AB110" s="99">
        <v>0</v>
      </c>
      <c r="AC110" s="99">
        <v>1480</v>
      </c>
      <c r="AD110" s="99">
        <v>0</v>
      </c>
      <c r="AE110" s="99">
        <v>0</v>
      </c>
      <c r="AF110" s="99">
        <v>0</v>
      </c>
      <c r="AG110" s="99">
        <v>2243</v>
      </c>
      <c r="AH110" s="99">
        <v>20</v>
      </c>
      <c r="AI110" s="99">
        <v>24</v>
      </c>
      <c r="AJ110" s="99">
        <v>0</v>
      </c>
      <c r="AK110" s="99">
        <v>0</v>
      </c>
      <c r="AL110" s="99">
        <v>0</v>
      </c>
      <c r="AM110" s="99">
        <v>0</v>
      </c>
      <c r="AN110" s="99">
        <v>0</v>
      </c>
      <c r="AO110" s="99">
        <v>0</v>
      </c>
      <c r="AP110" s="99">
        <v>0</v>
      </c>
      <c r="AQ110" s="99" t="s">
        <v>576</v>
      </c>
      <c r="AR110" s="99">
        <v>1763</v>
      </c>
      <c r="AS110" s="99">
        <v>4303</v>
      </c>
      <c r="AT110" s="99">
        <v>1697</v>
      </c>
      <c r="AU110" s="99" t="s">
        <v>1345</v>
      </c>
      <c r="AV110" s="99">
        <v>120</v>
      </c>
      <c r="AW110" s="99" t="s">
        <v>527</v>
      </c>
      <c r="AX110" s="99" t="s">
        <v>1861</v>
      </c>
    </row>
    <row r="111" spans="1:50" ht="18" customHeight="1" x14ac:dyDescent="0.25">
      <c r="A111" s="349" t="s">
        <v>229</v>
      </c>
      <c r="B111" s="99" t="s">
        <v>230</v>
      </c>
      <c r="C111" s="99" t="s">
        <v>52</v>
      </c>
      <c r="D111" s="99" t="s">
        <v>35</v>
      </c>
      <c r="E111" s="350">
        <v>42491</v>
      </c>
      <c r="F111" s="99" t="s">
        <v>1429</v>
      </c>
      <c r="G111" s="590" t="s">
        <v>40</v>
      </c>
      <c r="H111" s="99">
        <v>0</v>
      </c>
      <c r="I111" s="99"/>
      <c r="J111" s="99"/>
      <c r="K111" s="99" t="s">
        <v>1429</v>
      </c>
      <c r="L111" s="99">
        <v>0</v>
      </c>
      <c r="M111" s="99">
        <v>0</v>
      </c>
      <c r="N111" s="99"/>
      <c r="O111" s="99"/>
      <c r="P111" s="99" t="s">
        <v>37</v>
      </c>
      <c r="Q111" s="99" t="s">
        <v>37</v>
      </c>
      <c r="R111" s="99" t="s">
        <v>1793</v>
      </c>
      <c r="S111" s="99"/>
      <c r="T111" s="350">
        <v>43220</v>
      </c>
      <c r="U111" s="99"/>
      <c r="V111" s="99" t="s">
        <v>31</v>
      </c>
      <c r="W111" s="99" t="s">
        <v>32</v>
      </c>
      <c r="X111" s="99" t="s">
        <v>37</v>
      </c>
      <c r="Y111" s="99">
        <v>6124</v>
      </c>
      <c r="Z111" s="99"/>
      <c r="AA111" s="99">
        <v>580</v>
      </c>
      <c r="AB111" s="99">
        <v>0</v>
      </c>
      <c r="AC111" s="99">
        <v>0</v>
      </c>
      <c r="AD111" s="99">
        <v>0</v>
      </c>
      <c r="AE111" s="99">
        <v>0</v>
      </c>
      <c r="AF111" s="99">
        <v>0</v>
      </c>
      <c r="AG111" s="99">
        <v>0</v>
      </c>
      <c r="AH111" s="99">
        <v>0</v>
      </c>
      <c r="AI111" s="99">
        <v>24</v>
      </c>
      <c r="AJ111" s="99">
        <v>0</v>
      </c>
      <c r="AK111" s="99">
        <v>0</v>
      </c>
      <c r="AL111" s="99">
        <v>0</v>
      </c>
      <c r="AM111" s="99">
        <v>0</v>
      </c>
      <c r="AN111" s="99">
        <v>0</v>
      </c>
      <c r="AO111" s="99">
        <v>0</v>
      </c>
      <c r="AP111" s="99">
        <v>0</v>
      </c>
      <c r="AQ111" s="99"/>
      <c r="AR111" s="99">
        <v>0</v>
      </c>
      <c r="AS111" s="99">
        <v>0</v>
      </c>
      <c r="AT111" s="99">
        <v>6124</v>
      </c>
      <c r="AU111" s="99" t="s">
        <v>1345</v>
      </c>
      <c r="AV111" s="99">
        <v>122.48</v>
      </c>
      <c r="AW111" s="99" t="s">
        <v>526</v>
      </c>
      <c r="AX111" s="99" t="s">
        <v>1786</v>
      </c>
    </row>
    <row r="112" spans="1:50" ht="18" customHeight="1" x14ac:dyDescent="0.25">
      <c r="A112" s="349" t="s">
        <v>231</v>
      </c>
      <c r="B112" s="99" t="s">
        <v>232</v>
      </c>
      <c r="C112" s="99" t="s">
        <v>139</v>
      </c>
      <c r="D112" s="99" t="s">
        <v>233</v>
      </c>
      <c r="E112" s="350">
        <v>38869</v>
      </c>
      <c r="F112" s="99" t="s">
        <v>1429</v>
      </c>
      <c r="G112" s="590" t="s">
        <v>139</v>
      </c>
      <c r="H112" s="99">
        <v>0</v>
      </c>
      <c r="I112" s="351">
        <v>0.375</v>
      </c>
      <c r="J112" s="351">
        <v>0.70833333333333337</v>
      </c>
      <c r="K112" s="99" t="s">
        <v>1429</v>
      </c>
      <c r="L112" s="99">
        <v>0</v>
      </c>
      <c r="M112" s="352">
        <v>43101</v>
      </c>
      <c r="N112" s="99"/>
      <c r="O112" s="99" t="s">
        <v>1794</v>
      </c>
      <c r="P112" s="99" t="s">
        <v>37</v>
      </c>
      <c r="Q112" s="99" t="s">
        <v>1429</v>
      </c>
      <c r="R112" s="99"/>
      <c r="S112" s="99"/>
      <c r="T112" s="99"/>
      <c r="U112" s="99"/>
      <c r="V112" s="99" t="s">
        <v>31</v>
      </c>
      <c r="W112" s="99" t="s">
        <v>32</v>
      </c>
      <c r="X112" s="99" t="s">
        <v>37</v>
      </c>
      <c r="Y112" s="99">
        <v>150</v>
      </c>
      <c r="Z112" s="99">
        <v>0</v>
      </c>
      <c r="AA112" s="99">
        <v>580</v>
      </c>
      <c r="AB112" s="99">
        <v>0</v>
      </c>
      <c r="AC112" s="99">
        <v>0</v>
      </c>
      <c r="AD112" s="99">
        <v>0</v>
      </c>
      <c r="AE112" s="99">
        <v>0</v>
      </c>
      <c r="AF112" s="99">
        <v>0</v>
      </c>
      <c r="AG112" s="99">
        <v>1763</v>
      </c>
      <c r="AH112" s="99">
        <v>0</v>
      </c>
      <c r="AI112" s="99">
        <v>24</v>
      </c>
      <c r="AJ112" s="99">
        <v>0</v>
      </c>
      <c r="AK112" s="99">
        <v>0</v>
      </c>
      <c r="AL112" s="99">
        <v>0</v>
      </c>
      <c r="AM112" s="99">
        <v>0</v>
      </c>
      <c r="AN112" s="99">
        <v>0</v>
      </c>
      <c r="AO112" s="99">
        <v>0</v>
      </c>
      <c r="AP112" s="99">
        <v>0</v>
      </c>
      <c r="AQ112" s="99"/>
      <c r="AR112" s="99">
        <v>1763</v>
      </c>
      <c r="AS112" s="99">
        <v>1763</v>
      </c>
      <c r="AT112" s="99">
        <v>-1613</v>
      </c>
      <c r="AU112" s="99" t="s">
        <v>1345</v>
      </c>
      <c r="AV112" s="99">
        <v>3</v>
      </c>
      <c r="AW112" s="99" t="s">
        <v>530</v>
      </c>
      <c r="AX112" s="99" t="s">
        <v>1044</v>
      </c>
    </row>
    <row r="113" spans="1:50" ht="18" customHeight="1" x14ac:dyDescent="0.25">
      <c r="A113" s="349" t="s">
        <v>234</v>
      </c>
      <c r="B113" s="99" t="s">
        <v>235</v>
      </c>
      <c r="C113" s="99" t="s">
        <v>66</v>
      </c>
      <c r="D113" s="99" t="s">
        <v>38</v>
      </c>
      <c r="E113" s="350">
        <v>42055</v>
      </c>
      <c r="F113" s="99" t="s">
        <v>37</v>
      </c>
      <c r="G113" s="590" t="s">
        <v>66</v>
      </c>
      <c r="H113" s="99">
        <v>240</v>
      </c>
      <c r="I113" s="351">
        <v>0.375</v>
      </c>
      <c r="J113" s="351">
        <v>0.70833333333333337</v>
      </c>
      <c r="K113" s="99" t="s">
        <v>1429</v>
      </c>
      <c r="L113" s="99" t="s">
        <v>1435</v>
      </c>
      <c r="M113" s="99">
        <v>330</v>
      </c>
      <c r="N113" s="99" t="s">
        <v>1560</v>
      </c>
      <c r="O113" s="99" t="s">
        <v>1524</v>
      </c>
      <c r="P113" s="99" t="s">
        <v>37</v>
      </c>
      <c r="Q113" s="99" t="s">
        <v>1429</v>
      </c>
      <c r="R113" s="99" t="s">
        <v>1561</v>
      </c>
      <c r="S113" s="99" t="s">
        <v>1453</v>
      </c>
      <c r="T113" s="99"/>
      <c r="U113" s="99"/>
      <c r="V113" s="99" t="s">
        <v>46</v>
      </c>
      <c r="W113" s="99" t="s">
        <v>32</v>
      </c>
      <c r="X113" s="99" t="s">
        <v>37</v>
      </c>
      <c r="Y113" s="99">
        <v>15250</v>
      </c>
      <c r="Z113" s="99">
        <v>0</v>
      </c>
      <c r="AA113" s="99">
        <v>580</v>
      </c>
      <c r="AB113" s="99">
        <v>0</v>
      </c>
      <c r="AC113" s="99">
        <v>1480</v>
      </c>
      <c r="AD113" s="99">
        <v>0</v>
      </c>
      <c r="AE113" s="99">
        <v>0</v>
      </c>
      <c r="AF113" s="99">
        <v>0</v>
      </c>
      <c r="AG113" s="99">
        <v>2963</v>
      </c>
      <c r="AH113" s="99">
        <v>50</v>
      </c>
      <c r="AI113" s="99">
        <v>24</v>
      </c>
      <c r="AJ113" s="99">
        <v>200</v>
      </c>
      <c r="AK113" s="99">
        <v>0</v>
      </c>
      <c r="AL113" s="99">
        <v>0</v>
      </c>
      <c r="AM113" s="99">
        <v>0</v>
      </c>
      <c r="AN113" s="99">
        <v>0</v>
      </c>
      <c r="AO113" s="99">
        <v>0</v>
      </c>
      <c r="AP113" s="99">
        <v>0</v>
      </c>
      <c r="AQ113" s="99"/>
      <c r="AR113" s="99">
        <v>1763</v>
      </c>
      <c r="AS113" s="99">
        <v>4443</v>
      </c>
      <c r="AT113" s="99">
        <v>10807</v>
      </c>
      <c r="AU113" s="99" t="s">
        <v>1345</v>
      </c>
      <c r="AV113" s="99">
        <v>305</v>
      </c>
      <c r="AW113" s="99" t="s">
        <v>526</v>
      </c>
      <c r="AX113" s="99" t="s">
        <v>1857</v>
      </c>
    </row>
    <row r="114" spans="1:50" ht="18" customHeight="1" x14ac:dyDescent="0.25">
      <c r="A114" s="349" t="s">
        <v>236</v>
      </c>
      <c r="B114" s="99" t="s">
        <v>237</v>
      </c>
      <c r="C114" s="99" t="s">
        <v>35</v>
      </c>
      <c r="D114" s="99" t="s">
        <v>35</v>
      </c>
      <c r="E114" s="350">
        <v>40366</v>
      </c>
      <c r="F114" s="99" t="s">
        <v>37</v>
      </c>
      <c r="G114" s="590" t="s">
        <v>126</v>
      </c>
      <c r="H114" s="99">
        <v>240</v>
      </c>
      <c r="I114" s="351">
        <v>0.375</v>
      </c>
      <c r="J114" s="351">
        <v>0.70833333333333337</v>
      </c>
      <c r="K114" s="99" t="s">
        <v>1429</v>
      </c>
      <c r="L114" s="99" t="s">
        <v>1435</v>
      </c>
      <c r="M114" s="99">
        <v>18</v>
      </c>
      <c r="N114" s="99" t="s">
        <v>1562</v>
      </c>
      <c r="O114" s="99" t="s">
        <v>1524</v>
      </c>
      <c r="P114" s="99" t="s">
        <v>37</v>
      </c>
      <c r="Q114" s="99" t="s">
        <v>1429</v>
      </c>
      <c r="R114" s="99" t="s">
        <v>1563</v>
      </c>
      <c r="S114" s="99" t="s">
        <v>1444</v>
      </c>
      <c r="T114" s="99"/>
      <c r="U114" s="99" t="s">
        <v>36</v>
      </c>
      <c r="V114" s="99" t="s">
        <v>46</v>
      </c>
      <c r="W114" s="99" t="s">
        <v>32</v>
      </c>
      <c r="X114" s="99" t="s">
        <v>37</v>
      </c>
      <c r="Y114" s="99">
        <v>7300</v>
      </c>
      <c r="Z114" s="99">
        <v>1</v>
      </c>
      <c r="AA114" s="99">
        <v>580</v>
      </c>
      <c r="AB114" s="99">
        <v>0</v>
      </c>
      <c r="AC114" s="99">
        <v>1480</v>
      </c>
      <c r="AD114" s="99">
        <v>0</v>
      </c>
      <c r="AE114" s="99">
        <v>0</v>
      </c>
      <c r="AF114" s="99">
        <v>0</v>
      </c>
      <c r="AG114" s="99">
        <v>2003</v>
      </c>
      <c r="AH114" s="99">
        <v>10</v>
      </c>
      <c r="AI114" s="99">
        <v>24</v>
      </c>
      <c r="AJ114" s="99">
        <v>0</v>
      </c>
      <c r="AK114" s="99">
        <v>0</v>
      </c>
      <c r="AL114" s="99">
        <v>0</v>
      </c>
      <c r="AM114" s="99">
        <v>0</v>
      </c>
      <c r="AN114" s="99">
        <v>0</v>
      </c>
      <c r="AO114" s="99">
        <v>0</v>
      </c>
      <c r="AP114" s="99">
        <v>0</v>
      </c>
      <c r="AQ114" s="99" t="s">
        <v>47</v>
      </c>
      <c r="AR114" s="99">
        <v>1763</v>
      </c>
      <c r="AS114" s="99">
        <v>4063</v>
      </c>
      <c r="AT114" s="99">
        <v>3237</v>
      </c>
      <c r="AU114" s="99" t="s">
        <v>1345</v>
      </c>
      <c r="AV114" s="99">
        <v>146</v>
      </c>
      <c r="AW114" s="99" t="s">
        <v>527</v>
      </c>
      <c r="AX114" s="99" t="s">
        <v>1795</v>
      </c>
    </row>
    <row r="115" spans="1:50" ht="18" customHeight="1" x14ac:dyDescent="0.25">
      <c r="A115" s="349" t="s">
        <v>238</v>
      </c>
      <c r="B115" s="99" t="s">
        <v>239</v>
      </c>
      <c r="C115" s="99" t="s">
        <v>56</v>
      </c>
      <c r="D115" s="99" t="s">
        <v>56</v>
      </c>
      <c r="E115" s="350">
        <v>41671</v>
      </c>
      <c r="F115" s="99" t="s">
        <v>37</v>
      </c>
      <c r="G115" s="590" t="s">
        <v>547</v>
      </c>
      <c r="H115" s="99">
        <v>240</v>
      </c>
      <c r="I115" s="351">
        <v>0.375</v>
      </c>
      <c r="J115" s="351">
        <v>0.70833333333333337</v>
      </c>
      <c r="K115" s="99" t="s">
        <v>1429</v>
      </c>
      <c r="L115" s="99" t="s">
        <v>1435</v>
      </c>
      <c r="M115" s="352">
        <v>43240</v>
      </c>
      <c r="N115" s="99" t="s">
        <v>1523</v>
      </c>
      <c r="O115" s="99" t="s">
        <v>1524</v>
      </c>
      <c r="P115" s="99" t="s">
        <v>37</v>
      </c>
      <c r="Q115" s="99" t="s">
        <v>1429</v>
      </c>
      <c r="R115" s="99" t="s">
        <v>1564</v>
      </c>
      <c r="S115" s="99" t="s">
        <v>1444</v>
      </c>
      <c r="T115" s="99"/>
      <c r="U115" s="99"/>
      <c r="V115" s="99" t="s">
        <v>46</v>
      </c>
      <c r="W115" s="99" t="s">
        <v>32</v>
      </c>
      <c r="X115" s="99" t="s">
        <v>37</v>
      </c>
      <c r="Y115" s="99">
        <v>5000</v>
      </c>
      <c r="Z115" s="99">
        <v>1</v>
      </c>
      <c r="AA115" s="99">
        <v>580</v>
      </c>
      <c r="AB115" s="99">
        <v>0</v>
      </c>
      <c r="AC115" s="99">
        <v>1480</v>
      </c>
      <c r="AD115" s="99">
        <v>0</v>
      </c>
      <c r="AE115" s="99">
        <v>0</v>
      </c>
      <c r="AF115" s="99">
        <v>0</v>
      </c>
      <c r="AG115" s="99">
        <v>2003</v>
      </c>
      <c r="AH115" s="99">
        <v>10</v>
      </c>
      <c r="AI115" s="99">
        <v>24</v>
      </c>
      <c r="AJ115" s="99">
        <v>0</v>
      </c>
      <c r="AK115" s="99">
        <v>0</v>
      </c>
      <c r="AL115" s="99">
        <v>0</v>
      </c>
      <c r="AM115" s="99">
        <v>0</v>
      </c>
      <c r="AN115" s="99">
        <v>0</v>
      </c>
      <c r="AO115" s="99">
        <v>0</v>
      </c>
      <c r="AP115" s="99">
        <v>0</v>
      </c>
      <c r="AQ115" s="99" t="s">
        <v>47</v>
      </c>
      <c r="AR115" s="99">
        <v>1763</v>
      </c>
      <c r="AS115" s="99">
        <v>4063</v>
      </c>
      <c r="AT115" s="99">
        <v>937</v>
      </c>
      <c r="AU115" s="99" t="s">
        <v>1345</v>
      </c>
      <c r="AV115" s="99">
        <v>100</v>
      </c>
      <c r="AW115" s="99" t="s">
        <v>528</v>
      </c>
      <c r="AX115" s="99" t="s">
        <v>1861</v>
      </c>
    </row>
    <row r="116" spans="1:50" ht="18" customHeight="1" x14ac:dyDescent="0.25">
      <c r="A116" s="349" t="s">
        <v>240</v>
      </c>
      <c r="B116" s="99" t="s">
        <v>241</v>
      </c>
      <c r="C116" s="99" t="s">
        <v>56</v>
      </c>
      <c r="D116" s="99" t="s">
        <v>56</v>
      </c>
      <c r="E116" s="350">
        <v>42125</v>
      </c>
      <c r="F116" s="99" t="s">
        <v>37</v>
      </c>
      <c r="G116" s="590" t="s">
        <v>66</v>
      </c>
      <c r="H116" s="99">
        <v>240</v>
      </c>
      <c r="I116" s="351">
        <v>0.375</v>
      </c>
      <c r="J116" s="351">
        <v>0.70833333333333337</v>
      </c>
      <c r="K116" s="99" t="s">
        <v>1429</v>
      </c>
      <c r="L116" s="99" t="s">
        <v>1435</v>
      </c>
      <c r="M116" s="352">
        <v>43173</v>
      </c>
      <c r="N116" s="99" t="s">
        <v>1565</v>
      </c>
      <c r="O116" s="99" t="s">
        <v>1524</v>
      </c>
      <c r="P116" s="99" t="s">
        <v>37</v>
      </c>
      <c r="Q116" s="99" t="s">
        <v>1429</v>
      </c>
      <c r="R116" s="99" t="s">
        <v>1566</v>
      </c>
      <c r="S116" s="99" t="s">
        <v>1453</v>
      </c>
      <c r="T116" s="99"/>
      <c r="U116" s="99"/>
      <c r="V116" s="99" t="s">
        <v>46</v>
      </c>
      <c r="W116" s="99" t="s">
        <v>32</v>
      </c>
      <c r="X116" s="99" t="s">
        <v>37</v>
      </c>
      <c r="Y116" s="99">
        <v>5000</v>
      </c>
      <c r="Z116" s="99">
        <v>1</v>
      </c>
      <c r="AA116" s="99">
        <v>580</v>
      </c>
      <c r="AB116" s="99">
        <v>0</v>
      </c>
      <c r="AC116" s="99">
        <v>1480</v>
      </c>
      <c r="AD116" s="99">
        <v>0</v>
      </c>
      <c r="AE116" s="99">
        <v>0</v>
      </c>
      <c r="AF116" s="99">
        <v>0</v>
      </c>
      <c r="AG116" s="99">
        <v>1883</v>
      </c>
      <c r="AH116" s="99">
        <v>5</v>
      </c>
      <c r="AI116" s="99">
        <v>24</v>
      </c>
      <c r="AJ116" s="99">
        <v>0</v>
      </c>
      <c r="AK116" s="99">
        <v>0</v>
      </c>
      <c r="AL116" s="99">
        <v>0</v>
      </c>
      <c r="AM116" s="99">
        <v>0</v>
      </c>
      <c r="AN116" s="99">
        <v>0</v>
      </c>
      <c r="AO116" s="99">
        <v>0</v>
      </c>
      <c r="AP116" s="99">
        <v>0</v>
      </c>
      <c r="AQ116" s="99" t="s">
        <v>47</v>
      </c>
      <c r="AR116" s="99">
        <v>1763</v>
      </c>
      <c r="AS116" s="99">
        <v>3943</v>
      </c>
      <c r="AT116" s="99">
        <v>1057</v>
      </c>
      <c r="AU116" s="99" t="s">
        <v>1345</v>
      </c>
      <c r="AV116" s="99">
        <v>100</v>
      </c>
      <c r="AW116" s="99" t="s">
        <v>527</v>
      </c>
      <c r="AX116" s="99" t="s">
        <v>1852</v>
      </c>
    </row>
    <row r="117" spans="1:50" ht="18" customHeight="1" x14ac:dyDescent="0.25">
      <c r="A117" s="349" t="s">
        <v>242</v>
      </c>
      <c r="B117" s="99" t="s">
        <v>243</v>
      </c>
      <c r="C117" s="99" t="s">
        <v>30</v>
      </c>
      <c r="D117" s="99" t="s">
        <v>30</v>
      </c>
      <c r="E117" s="350">
        <v>39083</v>
      </c>
      <c r="F117" s="99" t="s">
        <v>1429</v>
      </c>
      <c r="G117" s="590"/>
      <c r="H117" s="99">
        <v>0</v>
      </c>
      <c r="I117" s="99"/>
      <c r="J117" s="99"/>
      <c r="K117" s="99" t="s">
        <v>1429</v>
      </c>
      <c r="L117" s="99">
        <v>0</v>
      </c>
      <c r="M117" s="99">
        <v>0</v>
      </c>
      <c r="N117" s="99"/>
      <c r="O117" s="99"/>
      <c r="P117" s="99" t="s">
        <v>37</v>
      </c>
      <c r="Q117" s="99" t="s">
        <v>1429</v>
      </c>
      <c r="R117" s="99"/>
      <c r="S117" s="99"/>
      <c r="T117" s="99"/>
      <c r="U117" s="99"/>
      <c r="V117" s="99" t="s">
        <v>39</v>
      </c>
      <c r="W117" s="99" t="s">
        <v>32</v>
      </c>
      <c r="X117" s="99" t="s">
        <v>37</v>
      </c>
      <c r="Y117" s="99">
        <v>300</v>
      </c>
      <c r="Z117" s="99">
        <v>0</v>
      </c>
      <c r="AA117" s="99">
        <v>580</v>
      </c>
      <c r="AB117" s="99">
        <v>0</v>
      </c>
      <c r="AC117" s="99">
        <v>0</v>
      </c>
      <c r="AD117" s="99">
        <v>0</v>
      </c>
      <c r="AE117" s="99">
        <v>0</v>
      </c>
      <c r="AF117" s="99">
        <v>0</v>
      </c>
      <c r="AG117" s="99">
        <v>0</v>
      </c>
      <c r="AH117" s="99">
        <v>0</v>
      </c>
      <c r="AI117" s="99">
        <v>24</v>
      </c>
      <c r="AJ117" s="99">
        <v>0</v>
      </c>
      <c r="AK117" s="99">
        <v>0</v>
      </c>
      <c r="AL117" s="99">
        <v>0</v>
      </c>
      <c r="AM117" s="99">
        <v>0</v>
      </c>
      <c r="AN117" s="99">
        <v>0</v>
      </c>
      <c r="AO117" s="99">
        <v>0</v>
      </c>
      <c r="AP117" s="99">
        <v>0</v>
      </c>
      <c r="AQ117" s="99"/>
      <c r="AR117" s="99">
        <v>0</v>
      </c>
      <c r="AS117" s="99">
        <v>0</v>
      </c>
      <c r="AT117" s="99">
        <v>300</v>
      </c>
      <c r="AU117" s="99" t="s">
        <v>1345</v>
      </c>
      <c r="AV117" s="99">
        <v>6</v>
      </c>
      <c r="AW117" s="99" t="s">
        <v>528</v>
      </c>
      <c r="AX117" s="99" t="s">
        <v>1045</v>
      </c>
    </row>
    <row r="118" spans="1:50" ht="18" customHeight="1" x14ac:dyDescent="0.25">
      <c r="A118" s="349" t="s">
        <v>244</v>
      </c>
      <c r="B118" s="99" t="s">
        <v>245</v>
      </c>
      <c r="C118" s="99" t="s">
        <v>56</v>
      </c>
      <c r="D118" s="99" t="s">
        <v>56</v>
      </c>
      <c r="E118" s="350">
        <v>40949</v>
      </c>
      <c r="F118" s="99" t="s">
        <v>37</v>
      </c>
      <c r="G118" s="590" t="s">
        <v>547</v>
      </c>
      <c r="H118" s="99">
        <v>240</v>
      </c>
      <c r="I118" s="351">
        <v>0.375</v>
      </c>
      <c r="J118" s="351">
        <v>0.70833333333333337</v>
      </c>
      <c r="K118" s="99" t="s">
        <v>1429</v>
      </c>
      <c r="L118" s="99" t="s">
        <v>1435</v>
      </c>
      <c r="M118" s="352">
        <v>43315</v>
      </c>
      <c r="N118" s="99" t="s">
        <v>1523</v>
      </c>
      <c r="O118" s="99" t="s">
        <v>1524</v>
      </c>
      <c r="P118" s="99" t="s">
        <v>37</v>
      </c>
      <c r="Q118" s="99" t="s">
        <v>1429</v>
      </c>
      <c r="R118" s="99" t="s">
        <v>1567</v>
      </c>
      <c r="S118" s="99" t="s">
        <v>1453</v>
      </c>
      <c r="T118" s="99"/>
      <c r="U118" s="99"/>
      <c r="V118" s="99" t="s">
        <v>46</v>
      </c>
      <c r="W118" s="99" t="s">
        <v>32</v>
      </c>
      <c r="X118" s="99" t="s">
        <v>37</v>
      </c>
      <c r="Y118" s="99">
        <v>3500</v>
      </c>
      <c r="Z118" s="99">
        <v>0</v>
      </c>
      <c r="AA118" s="99">
        <v>580</v>
      </c>
      <c r="AB118" s="99">
        <v>0</v>
      </c>
      <c r="AC118" s="99">
        <v>1480</v>
      </c>
      <c r="AD118" s="99">
        <v>0</v>
      </c>
      <c r="AE118" s="99">
        <v>0</v>
      </c>
      <c r="AF118" s="99">
        <v>0</v>
      </c>
      <c r="AG118" s="99">
        <v>2003</v>
      </c>
      <c r="AH118" s="99">
        <v>10</v>
      </c>
      <c r="AI118" s="99">
        <v>24</v>
      </c>
      <c r="AJ118" s="99">
        <v>0</v>
      </c>
      <c r="AK118" s="99">
        <v>0</v>
      </c>
      <c r="AL118" s="99">
        <v>0</v>
      </c>
      <c r="AM118" s="99">
        <v>0</v>
      </c>
      <c r="AN118" s="99">
        <v>0</v>
      </c>
      <c r="AO118" s="99">
        <v>0</v>
      </c>
      <c r="AP118" s="99">
        <v>0</v>
      </c>
      <c r="AQ118" s="99" t="s">
        <v>47</v>
      </c>
      <c r="AR118" s="99">
        <v>1763</v>
      </c>
      <c r="AS118" s="99">
        <v>3483</v>
      </c>
      <c r="AT118" s="99">
        <v>17</v>
      </c>
      <c r="AU118" s="99" t="s">
        <v>1345</v>
      </c>
      <c r="AV118" s="99">
        <v>70</v>
      </c>
      <c r="AW118" s="99" t="s">
        <v>528</v>
      </c>
      <c r="AX118" s="99" t="s">
        <v>1866</v>
      </c>
    </row>
    <row r="119" spans="1:50" ht="18" customHeight="1" x14ac:dyDescent="0.25">
      <c r="A119" s="349" t="s">
        <v>246</v>
      </c>
      <c r="B119" s="99" t="s">
        <v>247</v>
      </c>
      <c r="C119" s="99" t="s">
        <v>35</v>
      </c>
      <c r="D119" s="99" t="s">
        <v>35</v>
      </c>
      <c r="E119" s="350">
        <v>41379</v>
      </c>
      <c r="F119" s="99" t="s">
        <v>37</v>
      </c>
      <c r="G119" s="590" t="s">
        <v>44</v>
      </c>
      <c r="H119" s="99">
        <v>240</v>
      </c>
      <c r="I119" s="351">
        <v>0.375</v>
      </c>
      <c r="J119" s="351">
        <v>0.70833333333333337</v>
      </c>
      <c r="K119" s="99" t="s">
        <v>1429</v>
      </c>
      <c r="L119" s="99" t="s">
        <v>1435</v>
      </c>
      <c r="M119" s="352">
        <v>43200</v>
      </c>
      <c r="N119" s="99" t="s">
        <v>1531</v>
      </c>
      <c r="O119" s="99" t="s">
        <v>1524</v>
      </c>
      <c r="P119" s="99" t="s">
        <v>37</v>
      </c>
      <c r="Q119" s="99" t="s">
        <v>1429</v>
      </c>
      <c r="R119" s="99" t="s">
        <v>1568</v>
      </c>
      <c r="S119" s="99" t="s">
        <v>1444</v>
      </c>
      <c r="T119" s="99"/>
      <c r="U119" s="99"/>
      <c r="V119" s="99" t="s">
        <v>46</v>
      </c>
      <c r="W119" s="99" t="s">
        <v>32</v>
      </c>
      <c r="X119" s="99" t="s">
        <v>37</v>
      </c>
      <c r="Y119" s="99">
        <v>2075</v>
      </c>
      <c r="Z119" s="99">
        <v>1</v>
      </c>
      <c r="AA119" s="99">
        <v>580</v>
      </c>
      <c r="AB119" s="99">
        <v>0</v>
      </c>
      <c r="AC119" s="99">
        <v>1480</v>
      </c>
      <c r="AD119" s="99">
        <v>0</v>
      </c>
      <c r="AE119" s="99">
        <v>0</v>
      </c>
      <c r="AF119" s="99">
        <v>0</v>
      </c>
      <c r="AG119" s="99">
        <v>2003</v>
      </c>
      <c r="AH119" s="99">
        <v>10</v>
      </c>
      <c r="AI119" s="99">
        <v>24</v>
      </c>
      <c r="AJ119" s="99">
        <v>0</v>
      </c>
      <c r="AK119" s="99">
        <v>0</v>
      </c>
      <c r="AL119" s="99">
        <v>0</v>
      </c>
      <c r="AM119" s="99">
        <v>0</v>
      </c>
      <c r="AN119" s="99">
        <v>0</v>
      </c>
      <c r="AO119" s="99">
        <v>0</v>
      </c>
      <c r="AP119" s="99">
        <v>0</v>
      </c>
      <c r="AQ119" s="99" t="s">
        <v>47</v>
      </c>
      <c r="AR119" s="99">
        <v>1763</v>
      </c>
      <c r="AS119" s="99">
        <v>4063</v>
      </c>
      <c r="AT119" s="99">
        <v>-1988</v>
      </c>
      <c r="AU119" s="99" t="s">
        <v>1345</v>
      </c>
      <c r="AV119" s="99">
        <v>41.5</v>
      </c>
      <c r="AW119" s="99" t="s">
        <v>530</v>
      </c>
      <c r="AX119" s="99" t="s">
        <v>1855</v>
      </c>
    </row>
    <row r="120" spans="1:50" ht="18" customHeight="1" x14ac:dyDescent="0.25">
      <c r="A120" s="349" t="s">
        <v>251</v>
      </c>
      <c r="B120" s="99" t="s">
        <v>252</v>
      </c>
      <c r="C120" s="99" t="s">
        <v>30</v>
      </c>
      <c r="D120" s="99" t="s">
        <v>30</v>
      </c>
      <c r="E120" s="350">
        <v>41275</v>
      </c>
      <c r="F120" s="99" t="s">
        <v>37</v>
      </c>
      <c r="G120" s="590" t="s">
        <v>44</v>
      </c>
      <c r="H120" s="99">
        <v>240</v>
      </c>
      <c r="I120" s="351">
        <v>0.375</v>
      </c>
      <c r="J120" s="351">
        <v>0.70833333333333337</v>
      </c>
      <c r="K120" s="99" t="s">
        <v>1429</v>
      </c>
      <c r="L120" s="99" t="s">
        <v>1435</v>
      </c>
      <c r="M120" s="99">
        <v>35</v>
      </c>
      <c r="N120" s="99" t="s">
        <v>1569</v>
      </c>
      <c r="O120" s="99" t="s">
        <v>1524</v>
      </c>
      <c r="P120" s="99" t="s">
        <v>37</v>
      </c>
      <c r="Q120" s="99" t="s">
        <v>1429</v>
      </c>
      <c r="R120" s="99" t="s">
        <v>1570</v>
      </c>
      <c r="S120" s="99" t="s">
        <v>1444</v>
      </c>
      <c r="T120" s="99"/>
      <c r="U120" s="99"/>
      <c r="V120" s="99" t="s">
        <v>46</v>
      </c>
      <c r="W120" s="99" t="s">
        <v>32</v>
      </c>
      <c r="X120" s="99" t="s">
        <v>37</v>
      </c>
      <c r="Y120" s="99">
        <v>3954</v>
      </c>
      <c r="Z120" s="99"/>
      <c r="AA120" s="99">
        <v>580</v>
      </c>
      <c r="AB120" s="99">
        <v>0</v>
      </c>
      <c r="AC120" s="99">
        <v>1480</v>
      </c>
      <c r="AD120" s="99">
        <v>0</v>
      </c>
      <c r="AE120" s="99">
        <v>0</v>
      </c>
      <c r="AF120" s="99">
        <v>0</v>
      </c>
      <c r="AG120" s="99">
        <v>2603</v>
      </c>
      <c r="AH120" s="99">
        <v>35</v>
      </c>
      <c r="AI120" s="99">
        <v>24</v>
      </c>
      <c r="AJ120" s="99">
        <v>0</v>
      </c>
      <c r="AK120" s="99">
        <v>0</v>
      </c>
      <c r="AL120" s="99">
        <v>0</v>
      </c>
      <c r="AM120" s="99">
        <v>0</v>
      </c>
      <c r="AN120" s="99">
        <v>0</v>
      </c>
      <c r="AO120" s="99">
        <v>0</v>
      </c>
      <c r="AP120" s="99">
        <v>0</v>
      </c>
      <c r="AQ120" s="99" t="s">
        <v>47</v>
      </c>
      <c r="AR120" s="99">
        <v>1763</v>
      </c>
      <c r="AS120" s="99">
        <v>4083</v>
      </c>
      <c r="AT120" s="99">
        <v>-129</v>
      </c>
      <c r="AU120" s="99" t="s">
        <v>1345</v>
      </c>
      <c r="AV120" s="99">
        <v>79.08</v>
      </c>
      <c r="AW120" s="99" t="s">
        <v>677</v>
      </c>
      <c r="AX120" s="99" t="s">
        <v>1795</v>
      </c>
    </row>
    <row r="121" spans="1:50" ht="18" customHeight="1" x14ac:dyDescent="0.25">
      <c r="A121" s="349" t="s">
        <v>253</v>
      </c>
      <c r="B121" s="99" t="s">
        <v>254</v>
      </c>
      <c r="C121" s="99" t="s">
        <v>56</v>
      </c>
      <c r="D121" s="99" t="s">
        <v>56</v>
      </c>
      <c r="E121" s="350">
        <v>42309</v>
      </c>
      <c r="F121" s="99" t="s">
        <v>37</v>
      </c>
      <c r="G121" s="590" t="s">
        <v>66</v>
      </c>
      <c r="H121" s="99">
        <v>240</v>
      </c>
      <c r="I121" s="351">
        <v>0.375</v>
      </c>
      <c r="J121" s="351">
        <v>0.70833333333333337</v>
      </c>
      <c r="K121" s="99" t="s">
        <v>1429</v>
      </c>
      <c r="L121" s="99" t="s">
        <v>1435</v>
      </c>
      <c r="M121" s="352">
        <v>43192</v>
      </c>
      <c r="N121" s="99" t="s">
        <v>1571</v>
      </c>
      <c r="O121" s="99" t="s">
        <v>1524</v>
      </c>
      <c r="P121" s="99" t="s">
        <v>37</v>
      </c>
      <c r="Q121" s="99" t="s">
        <v>1429</v>
      </c>
      <c r="R121" s="99" t="s">
        <v>1572</v>
      </c>
      <c r="S121" s="99" t="s">
        <v>1444</v>
      </c>
      <c r="T121" s="99"/>
      <c r="U121" s="99"/>
      <c r="V121" s="99" t="s">
        <v>46</v>
      </c>
      <c r="W121" s="99" t="s">
        <v>32</v>
      </c>
      <c r="X121" s="99" t="s">
        <v>37</v>
      </c>
      <c r="Y121" s="99">
        <v>5000</v>
      </c>
      <c r="Z121" s="99">
        <v>1</v>
      </c>
      <c r="AA121" s="99">
        <v>580</v>
      </c>
      <c r="AB121" s="99">
        <v>0</v>
      </c>
      <c r="AC121" s="99">
        <v>1480</v>
      </c>
      <c r="AD121" s="99">
        <v>0</v>
      </c>
      <c r="AE121" s="99">
        <v>0</v>
      </c>
      <c r="AF121" s="99">
        <v>0</v>
      </c>
      <c r="AG121" s="99">
        <v>2003</v>
      </c>
      <c r="AH121" s="99">
        <v>10</v>
      </c>
      <c r="AI121" s="99">
        <v>24</v>
      </c>
      <c r="AJ121" s="99">
        <v>0</v>
      </c>
      <c r="AK121" s="99">
        <v>0</v>
      </c>
      <c r="AL121" s="99">
        <v>0</v>
      </c>
      <c r="AM121" s="99">
        <v>0</v>
      </c>
      <c r="AN121" s="99">
        <v>0</v>
      </c>
      <c r="AO121" s="99">
        <v>0</v>
      </c>
      <c r="AP121" s="99">
        <v>0</v>
      </c>
      <c r="AQ121" s="99" t="s">
        <v>576</v>
      </c>
      <c r="AR121" s="99">
        <v>1763</v>
      </c>
      <c r="AS121" s="99">
        <v>4063</v>
      </c>
      <c r="AT121" s="99">
        <v>937</v>
      </c>
      <c r="AU121" s="99" t="s">
        <v>1345</v>
      </c>
      <c r="AV121" s="99">
        <v>100</v>
      </c>
      <c r="AW121" s="99" t="s">
        <v>528</v>
      </c>
      <c r="AX121" s="99" t="s">
        <v>1858</v>
      </c>
    </row>
    <row r="122" spans="1:50" ht="18" customHeight="1" x14ac:dyDescent="0.25">
      <c r="A122" s="349" t="s">
        <v>574</v>
      </c>
      <c r="B122" s="99" t="s">
        <v>72</v>
      </c>
      <c r="C122" s="99" t="s">
        <v>52</v>
      </c>
      <c r="D122" s="99" t="s">
        <v>30</v>
      </c>
      <c r="E122" s="350">
        <v>42235</v>
      </c>
      <c r="F122" s="99" t="s">
        <v>37</v>
      </c>
      <c r="G122" s="590" t="s">
        <v>40</v>
      </c>
      <c r="H122" s="99">
        <v>120</v>
      </c>
      <c r="I122" s="351">
        <v>0.375</v>
      </c>
      <c r="J122" s="351">
        <v>0.70833333333333337</v>
      </c>
      <c r="K122" s="99" t="s">
        <v>1429</v>
      </c>
      <c r="L122" s="99">
        <v>99</v>
      </c>
      <c r="M122" s="99">
        <v>0</v>
      </c>
      <c r="N122" s="99" t="s">
        <v>1450</v>
      </c>
      <c r="O122" s="99"/>
      <c r="P122" s="99" t="s">
        <v>37</v>
      </c>
      <c r="Q122" s="99" t="s">
        <v>37</v>
      </c>
      <c r="R122" s="99" t="s">
        <v>1573</v>
      </c>
      <c r="S122" s="99" t="s">
        <v>1444</v>
      </c>
      <c r="T122" s="350">
        <v>43465</v>
      </c>
      <c r="U122" s="99"/>
      <c r="V122" s="99" t="s">
        <v>31</v>
      </c>
      <c r="W122" s="99" t="s">
        <v>32</v>
      </c>
      <c r="X122" s="99" t="s">
        <v>37</v>
      </c>
      <c r="Y122" s="99">
        <v>3900</v>
      </c>
      <c r="Z122" s="99"/>
      <c r="AA122" s="99">
        <v>580</v>
      </c>
      <c r="AB122" s="99">
        <v>0</v>
      </c>
      <c r="AC122" s="99">
        <v>0</v>
      </c>
      <c r="AD122" s="99">
        <v>0</v>
      </c>
      <c r="AE122" s="99">
        <v>0</v>
      </c>
      <c r="AF122" s="99">
        <v>0</v>
      </c>
      <c r="AG122" s="99">
        <v>3203</v>
      </c>
      <c r="AH122" s="99">
        <v>60</v>
      </c>
      <c r="AI122" s="99">
        <v>24</v>
      </c>
      <c r="AJ122" s="99">
        <v>0</v>
      </c>
      <c r="AK122" s="99">
        <v>0</v>
      </c>
      <c r="AL122" s="99">
        <v>0</v>
      </c>
      <c r="AM122" s="99">
        <v>0</v>
      </c>
      <c r="AN122" s="99">
        <v>0</v>
      </c>
      <c r="AO122" s="99">
        <v>0</v>
      </c>
      <c r="AP122" s="99">
        <v>0</v>
      </c>
      <c r="AQ122" s="99"/>
      <c r="AR122" s="99">
        <v>1763</v>
      </c>
      <c r="AS122" s="99">
        <v>3203</v>
      </c>
      <c r="AT122" s="99">
        <v>697</v>
      </c>
      <c r="AU122" s="99" t="s">
        <v>1345</v>
      </c>
      <c r="AV122" s="99">
        <v>78</v>
      </c>
      <c r="AW122" s="99" t="s">
        <v>528</v>
      </c>
      <c r="AX122" s="99" t="s">
        <v>1786</v>
      </c>
    </row>
    <row r="123" spans="1:50" ht="18" customHeight="1" x14ac:dyDescent="0.25">
      <c r="A123" s="349" t="s">
        <v>255</v>
      </c>
      <c r="B123" s="99" t="s">
        <v>256</v>
      </c>
      <c r="C123" s="99" t="s">
        <v>30</v>
      </c>
      <c r="D123" s="99" t="s">
        <v>30</v>
      </c>
      <c r="E123" s="350">
        <v>42353</v>
      </c>
      <c r="F123" s="99" t="s">
        <v>1429</v>
      </c>
      <c r="G123" s="590" t="s">
        <v>544</v>
      </c>
      <c r="H123" s="99">
        <v>240</v>
      </c>
      <c r="I123" s="351">
        <v>0.375</v>
      </c>
      <c r="J123" s="351">
        <v>0.70833333333333337</v>
      </c>
      <c r="K123" s="99" t="s">
        <v>1429</v>
      </c>
      <c r="L123" s="99">
        <v>0</v>
      </c>
      <c r="M123" s="352">
        <v>43268</v>
      </c>
      <c r="N123" s="99"/>
      <c r="O123" s="99"/>
      <c r="P123" s="99" t="s">
        <v>37</v>
      </c>
      <c r="Q123" s="99" t="s">
        <v>1429</v>
      </c>
      <c r="R123" s="99" t="s">
        <v>1574</v>
      </c>
      <c r="S123" s="99"/>
      <c r="T123" s="99"/>
      <c r="U123" s="99"/>
      <c r="V123" s="99" t="s">
        <v>46</v>
      </c>
      <c r="W123" s="99" t="s">
        <v>32</v>
      </c>
      <c r="X123" s="99" t="s">
        <v>37</v>
      </c>
      <c r="Y123" s="99">
        <v>6000</v>
      </c>
      <c r="Z123" s="99"/>
      <c r="AA123" s="99">
        <v>580</v>
      </c>
      <c r="AB123" s="99">
        <v>0</v>
      </c>
      <c r="AC123" s="99">
        <v>1480</v>
      </c>
      <c r="AD123" s="99">
        <v>0</v>
      </c>
      <c r="AE123" s="99">
        <v>0</v>
      </c>
      <c r="AF123" s="99">
        <v>0</v>
      </c>
      <c r="AG123" s="99">
        <v>2243</v>
      </c>
      <c r="AH123" s="99">
        <v>20</v>
      </c>
      <c r="AI123" s="99">
        <v>24</v>
      </c>
      <c r="AJ123" s="99">
        <v>0</v>
      </c>
      <c r="AK123" s="99">
        <v>0</v>
      </c>
      <c r="AL123" s="99">
        <v>0</v>
      </c>
      <c r="AM123" s="99">
        <v>0</v>
      </c>
      <c r="AN123" s="99">
        <v>0</v>
      </c>
      <c r="AO123" s="99">
        <v>0</v>
      </c>
      <c r="AP123" s="99">
        <v>0</v>
      </c>
      <c r="AQ123" s="99" t="s">
        <v>47</v>
      </c>
      <c r="AR123" s="99">
        <v>1763</v>
      </c>
      <c r="AS123" s="99">
        <v>3723</v>
      </c>
      <c r="AT123" s="99">
        <v>2277</v>
      </c>
      <c r="AU123" s="99" t="s">
        <v>1345</v>
      </c>
      <c r="AV123" s="99">
        <v>120</v>
      </c>
      <c r="AW123" s="99" t="s">
        <v>527</v>
      </c>
      <c r="AX123" s="99" t="s">
        <v>1856</v>
      </c>
    </row>
    <row r="124" spans="1:50" ht="18" customHeight="1" x14ac:dyDescent="0.25">
      <c r="A124" s="349" t="s">
        <v>257</v>
      </c>
      <c r="B124" s="99" t="s">
        <v>258</v>
      </c>
      <c r="C124" s="99" t="s">
        <v>44</v>
      </c>
      <c r="D124" s="99" t="s">
        <v>35</v>
      </c>
      <c r="E124" s="350">
        <v>41548</v>
      </c>
      <c r="F124" s="99" t="s">
        <v>1429</v>
      </c>
      <c r="G124" s="590"/>
      <c r="H124" s="99"/>
      <c r="I124" s="99"/>
      <c r="J124" s="99"/>
      <c r="K124" s="99" t="s">
        <v>1429</v>
      </c>
      <c r="L124" s="99"/>
      <c r="M124" s="99"/>
      <c r="N124" s="99"/>
      <c r="O124" s="99"/>
      <c r="P124" s="99" t="s">
        <v>37</v>
      </c>
      <c r="Q124" s="99" t="s">
        <v>1429</v>
      </c>
      <c r="R124" s="99"/>
      <c r="S124" s="99"/>
      <c r="T124" s="99"/>
      <c r="U124" s="99"/>
      <c r="V124" s="99" t="s">
        <v>46</v>
      </c>
      <c r="W124" s="99" t="s">
        <v>32</v>
      </c>
      <c r="X124" s="99" t="s">
        <v>37</v>
      </c>
      <c r="Y124" s="99">
        <v>200</v>
      </c>
      <c r="Z124" s="99"/>
      <c r="AA124" s="99">
        <v>580</v>
      </c>
      <c r="AB124" s="99">
        <v>0</v>
      </c>
      <c r="AC124" s="99">
        <v>0</v>
      </c>
      <c r="AD124" s="99">
        <v>0</v>
      </c>
      <c r="AE124" s="99">
        <v>0</v>
      </c>
      <c r="AF124" s="99">
        <v>0</v>
      </c>
      <c r="AG124" s="99">
        <v>240</v>
      </c>
      <c r="AH124" s="99">
        <v>10</v>
      </c>
      <c r="AI124" s="99">
        <v>24</v>
      </c>
      <c r="AJ124" s="99">
        <v>0</v>
      </c>
      <c r="AK124" s="99">
        <v>0</v>
      </c>
      <c r="AL124" s="99">
        <v>0</v>
      </c>
      <c r="AM124" s="99">
        <v>0</v>
      </c>
      <c r="AN124" s="99">
        <v>0</v>
      </c>
      <c r="AO124" s="99">
        <v>0</v>
      </c>
      <c r="AP124" s="99">
        <v>0</v>
      </c>
      <c r="AQ124" s="99"/>
      <c r="AR124" s="99">
        <v>0</v>
      </c>
      <c r="AS124" s="99">
        <v>240</v>
      </c>
      <c r="AT124" s="99">
        <v>-40</v>
      </c>
      <c r="AU124" s="99" t="s">
        <v>1345</v>
      </c>
      <c r="AV124" s="99">
        <v>4</v>
      </c>
      <c r="AW124" s="99" t="s">
        <v>673</v>
      </c>
      <c r="AX124" s="99"/>
    </row>
    <row r="125" spans="1:50" ht="18" customHeight="1" x14ac:dyDescent="0.25">
      <c r="A125" s="349" t="s">
        <v>639</v>
      </c>
      <c r="B125" s="99" t="s">
        <v>575</v>
      </c>
      <c r="C125" s="99" t="s">
        <v>56</v>
      </c>
      <c r="D125" s="99" t="s">
        <v>56</v>
      </c>
      <c r="E125" s="350">
        <v>42370</v>
      </c>
      <c r="F125" s="99" t="s">
        <v>1429</v>
      </c>
      <c r="G125" s="590" t="s">
        <v>66</v>
      </c>
      <c r="H125" s="99">
        <v>0</v>
      </c>
      <c r="I125" s="351">
        <v>0.375</v>
      </c>
      <c r="J125" s="351">
        <v>0.70833333333333337</v>
      </c>
      <c r="K125" s="99" t="s">
        <v>1429</v>
      </c>
      <c r="L125" s="99">
        <v>0</v>
      </c>
      <c r="M125" s="99">
        <v>1</v>
      </c>
      <c r="N125" s="99" t="s">
        <v>1446</v>
      </c>
      <c r="O125" s="99"/>
      <c r="P125" s="99" t="s">
        <v>37</v>
      </c>
      <c r="Q125" s="99" t="s">
        <v>1429</v>
      </c>
      <c r="R125" s="99" t="s">
        <v>1575</v>
      </c>
      <c r="S125" s="99" t="s">
        <v>1496</v>
      </c>
      <c r="T125" s="350">
        <v>44196</v>
      </c>
      <c r="U125" s="99"/>
      <c r="V125" s="99" t="s">
        <v>46</v>
      </c>
      <c r="W125" s="99" t="s">
        <v>32</v>
      </c>
      <c r="X125" s="99" t="s">
        <v>37</v>
      </c>
      <c r="Y125" s="99">
        <v>500</v>
      </c>
      <c r="Z125" s="99"/>
      <c r="AA125" s="99">
        <v>580</v>
      </c>
      <c r="AB125" s="99">
        <v>0</v>
      </c>
      <c r="AC125" s="99">
        <v>0</v>
      </c>
      <c r="AD125" s="99">
        <v>0</v>
      </c>
      <c r="AE125" s="99">
        <v>0</v>
      </c>
      <c r="AF125" s="99">
        <v>0</v>
      </c>
      <c r="AG125" s="99">
        <v>24</v>
      </c>
      <c r="AH125" s="99">
        <v>1</v>
      </c>
      <c r="AI125" s="99">
        <v>24</v>
      </c>
      <c r="AJ125" s="99">
        <v>0</v>
      </c>
      <c r="AK125" s="99">
        <v>0</v>
      </c>
      <c r="AL125" s="99">
        <v>0</v>
      </c>
      <c r="AM125" s="99">
        <v>0</v>
      </c>
      <c r="AN125" s="99">
        <v>0</v>
      </c>
      <c r="AO125" s="99">
        <v>0</v>
      </c>
      <c r="AP125" s="99">
        <v>0</v>
      </c>
      <c r="AQ125" s="99" t="s">
        <v>576</v>
      </c>
      <c r="AR125" s="99">
        <v>0</v>
      </c>
      <c r="AS125" s="99">
        <v>24</v>
      </c>
      <c r="AT125" s="99">
        <v>476</v>
      </c>
      <c r="AU125" s="99" t="s">
        <v>1345</v>
      </c>
      <c r="AV125" s="99">
        <v>10</v>
      </c>
      <c r="AW125" s="99" t="s">
        <v>528</v>
      </c>
      <c r="AX125" s="99" t="s">
        <v>1852</v>
      </c>
    </row>
    <row r="126" spans="1:50" ht="18" customHeight="1" x14ac:dyDescent="0.25">
      <c r="A126" s="349" t="s">
        <v>259</v>
      </c>
      <c r="B126" s="99" t="s">
        <v>260</v>
      </c>
      <c r="C126" s="99" t="s">
        <v>44</v>
      </c>
      <c r="D126" s="99" t="s">
        <v>35</v>
      </c>
      <c r="E126" s="350">
        <v>41548</v>
      </c>
      <c r="F126" s="99" t="s">
        <v>1429</v>
      </c>
      <c r="G126" s="590"/>
      <c r="H126" s="99"/>
      <c r="I126" s="99"/>
      <c r="J126" s="99"/>
      <c r="K126" s="99" t="s">
        <v>1429</v>
      </c>
      <c r="L126" s="99"/>
      <c r="M126" s="99"/>
      <c r="N126" s="99"/>
      <c r="O126" s="99"/>
      <c r="P126" s="99" t="s">
        <v>37</v>
      </c>
      <c r="Q126" s="99" t="s">
        <v>1429</v>
      </c>
      <c r="R126" s="99"/>
      <c r="S126" s="99"/>
      <c r="T126" s="99"/>
      <c r="U126" s="99"/>
      <c r="V126" s="99" t="s">
        <v>46</v>
      </c>
      <c r="W126" s="99" t="s">
        <v>32</v>
      </c>
      <c r="X126" s="99" t="s">
        <v>37</v>
      </c>
      <c r="Y126" s="99">
        <v>100</v>
      </c>
      <c r="Z126" s="99"/>
      <c r="AA126" s="99">
        <v>580</v>
      </c>
      <c r="AB126" s="99">
        <v>0</v>
      </c>
      <c r="AC126" s="99">
        <v>800</v>
      </c>
      <c r="AD126" s="99">
        <v>0</v>
      </c>
      <c r="AE126" s="99">
        <v>0</v>
      </c>
      <c r="AF126" s="99">
        <v>0</v>
      </c>
      <c r="AG126" s="99">
        <v>1040</v>
      </c>
      <c r="AH126" s="99">
        <v>10</v>
      </c>
      <c r="AI126" s="99">
        <v>24</v>
      </c>
      <c r="AJ126" s="99">
        <v>0</v>
      </c>
      <c r="AK126" s="99">
        <v>0</v>
      </c>
      <c r="AL126" s="99">
        <v>0</v>
      </c>
      <c r="AM126" s="99">
        <v>0</v>
      </c>
      <c r="AN126" s="99">
        <v>0</v>
      </c>
      <c r="AO126" s="99">
        <v>0</v>
      </c>
      <c r="AP126" s="99">
        <v>0</v>
      </c>
      <c r="AQ126" s="99"/>
      <c r="AR126" s="99">
        <v>800</v>
      </c>
      <c r="AS126" s="99">
        <v>1840</v>
      </c>
      <c r="AT126" s="99">
        <v>-1740</v>
      </c>
      <c r="AU126" s="99" t="s">
        <v>1345</v>
      </c>
      <c r="AV126" s="99">
        <v>2</v>
      </c>
      <c r="AW126" s="99" t="s">
        <v>673</v>
      </c>
      <c r="AX126" s="99"/>
    </row>
    <row r="127" spans="1:50" ht="18" customHeight="1" x14ac:dyDescent="0.25">
      <c r="A127" s="349" t="s">
        <v>678</v>
      </c>
      <c r="B127" s="99" t="s">
        <v>261</v>
      </c>
      <c r="C127" s="99" t="s">
        <v>30</v>
      </c>
      <c r="D127" s="99" t="s">
        <v>30</v>
      </c>
      <c r="E127" s="350">
        <v>42339</v>
      </c>
      <c r="F127" s="99" t="s">
        <v>37</v>
      </c>
      <c r="G127" s="590" t="s">
        <v>545</v>
      </c>
      <c r="H127" s="99">
        <v>0</v>
      </c>
      <c r="I127" s="99"/>
      <c r="J127" s="99"/>
      <c r="K127" s="99" t="s">
        <v>1429</v>
      </c>
      <c r="L127" s="99" t="s">
        <v>1435</v>
      </c>
      <c r="M127" s="99" t="s">
        <v>41</v>
      </c>
      <c r="N127" s="99" t="s">
        <v>1576</v>
      </c>
      <c r="O127" s="99"/>
      <c r="P127" s="99" t="s">
        <v>37</v>
      </c>
      <c r="Q127" s="99" t="s">
        <v>1429</v>
      </c>
      <c r="R127" s="99" t="s">
        <v>1577</v>
      </c>
      <c r="S127" s="99" t="s">
        <v>1444</v>
      </c>
      <c r="T127" s="350">
        <v>44165</v>
      </c>
      <c r="U127" s="99"/>
      <c r="V127" s="99" t="s">
        <v>46</v>
      </c>
      <c r="W127" s="99" t="s">
        <v>32</v>
      </c>
      <c r="X127" s="99" t="s">
        <v>37</v>
      </c>
      <c r="Y127" s="99">
        <v>3500</v>
      </c>
      <c r="Z127" s="99"/>
      <c r="AA127" s="99">
        <v>580</v>
      </c>
      <c r="AB127" s="99">
        <v>0</v>
      </c>
      <c r="AC127" s="99">
        <v>1480</v>
      </c>
      <c r="AD127" s="99">
        <v>0</v>
      </c>
      <c r="AE127" s="99">
        <v>0</v>
      </c>
      <c r="AF127" s="99">
        <v>0</v>
      </c>
      <c r="AG127" s="99">
        <v>2003</v>
      </c>
      <c r="AH127" s="99">
        <v>10</v>
      </c>
      <c r="AI127" s="99">
        <v>24</v>
      </c>
      <c r="AJ127" s="99">
        <v>0</v>
      </c>
      <c r="AK127" s="99">
        <v>0</v>
      </c>
      <c r="AL127" s="99">
        <v>0</v>
      </c>
      <c r="AM127" s="99">
        <v>0</v>
      </c>
      <c r="AN127" s="99">
        <v>0</v>
      </c>
      <c r="AO127" s="99">
        <v>0</v>
      </c>
      <c r="AP127" s="99">
        <v>0</v>
      </c>
      <c r="AQ127" s="99" t="s">
        <v>47</v>
      </c>
      <c r="AR127" s="99">
        <v>1763</v>
      </c>
      <c r="AS127" s="99">
        <v>3483</v>
      </c>
      <c r="AT127" s="99">
        <v>17</v>
      </c>
      <c r="AU127" s="99" t="s">
        <v>1345</v>
      </c>
      <c r="AV127" s="99">
        <v>70</v>
      </c>
      <c r="AW127" s="99" t="s">
        <v>528</v>
      </c>
      <c r="AX127" s="99" t="s">
        <v>1853</v>
      </c>
    </row>
    <row r="128" spans="1:50" ht="18" customHeight="1" x14ac:dyDescent="0.25">
      <c r="A128" s="349" t="s">
        <v>577</v>
      </c>
      <c r="B128" s="99" t="s">
        <v>578</v>
      </c>
      <c r="C128" s="99" t="s">
        <v>35</v>
      </c>
      <c r="D128" s="99" t="s">
        <v>35</v>
      </c>
      <c r="E128" s="350">
        <v>42488</v>
      </c>
      <c r="F128" s="99" t="s">
        <v>37</v>
      </c>
      <c r="G128" s="590" t="s">
        <v>545</v>
      </c>
      <c r="H128" s="99">
        <v>240</v>
      </c>
      <c r="I128" s="351">
        <v>0.375</v>
      </c>
      <c r="J128" s="351">
        <v>0.70833333333333337</v>
      </c>
      <c r="K128" s="99" t="s">
        <v>1429</v>
      </c>
      <c r="L128" s="99" t="s">
        <v>1435</v>
      </c>
      <c r="M128" s="352">
        <v>43270</v>
      </c>
      <c r="N128" s="99" t="s">
        <v>1446</v>
      </c>
      <c r="O128" s="99"/>
      <c r="P128" s="99" t="s">
        <v>37</v>
      </c>
      <c r="Q128" s="99" t="s">
        <v>1429</v>
      </c>
      <c r="R128" s="99" t="s">
        <v>1578</v>
      </c>
      <c r="S128" s="99" t="s">
        <v>1444</v>
      </c>
      <c r="T128" s="99"/>
      <c r="U128" s="99"/>
      <c r="V128" s="99" t="s">
        <v>46</v>
      </c>
      <c r="W128" s="99" t="s">
        <v>32</v>
      </c>
      <c r="X128" s="99" t="s">
        <v>37</v>
      </c>
      <c r="Y128" s="99">
        <v>4000</v>
      </c>
      <c r="Z128" s="99"/>
      <c r="AA128" s="99">
        <v>580</v>
      </c>
      <c r="AB128" s="99">
        <v>0</v>
      </c>
      <c r="AC128" s="99">
        <v>1480</v>
      </c>
      <c r="AD128" s="99">
        <v>0</v>
      </c>
      <c r="AE128" s="99">
        <v>0</v>
      </c>
      <c r="AF128" s="99">
        <v>0</v>
      </c>
      <c r="AG128" s="99">
        <v>2003</v>
      </c>
      <c r="AH128" s="99">
        <v>10</v>
      </c>
      <c r="AI128" s="99">
        <v>24</v>
      </c>
      <c r="AJ128" s="99">
        <v>0</v>
      </c>
      <c r="AK128" s="99">
        <v>0</v>
      </c>
      <c r="AL128" s="99">
        <v>0</v>
      </c>
      <c r="AM128" s="99">
        <v>0</v>
      </c>
      <c r="AN128" s="99">
        <v>0</v>
      </c>
      <c r="AO128" s="99">
        <v>0</v>
      </c>
      <c r="AP128" s="99">
        <v>0</v>
      </c>
      <c r="AQ128" s="99" t="s">
        <v>576</v>
      </c>
      <c r="AR128" s="99">
        <v>1763</v>
      </c>
      <c r="AS128" s="99">
        <v>3483</v>
      </c>
      <c r="AT128" s="99">
        <v>517</v>
      </c>
      <c r="AU128" s="99" t="s">
        <v>1345</v>
      </c>
      <c r="AV128" s="99">
        <v>80</v>
      </c>
      <c r="AW128" s="99" t="s">
        <v>528</v>
      </c>
      <c r="AX128" s="99" t="s">
        <v>1852</v>
      </c>
    </row>
    <row r="129" spans="1:50" ht="18" customHeight="1" x14ac:dyDescent="0.25">
      <c r="A129" s="349" t="s">
        <v>262</v>
      </c>
      <c r="B129" s="99" t="s">
        <v>263</v>
      </c>
      <c r="C129" s="99" t="s">
        <v>56</v>
      </c>
      <c r="D129" s="99" t="s">
        <v>56</v>
      </c>
      <c r="E129" s="350">
        <v>42401</v>
      </c>
      <c r="F129" s="99" t="s">
        <v>1429</v>
      </c>
      <c r="G129" s="590" t="s">
        <v>44</v>
      </c>
      <c r="H129" s="99">
        <v>0</v>
      </c>
      <c r="I129" s="99"/>
      <c r="J129" s="99"/>
      <c r="K129" s="99" t="s">
        <v>1429</v>
      </c>
      <c r="L129" s="99">
        <v>0</v>
      </c>
      <c r="M129" s="99">
        <v>0</v>
      </c>
      <c r="N129" s="99"/>
      <c r="O129" s="99"/>
      <c r="P129" s="99" t="s">
        <v>37</v>
      </c>
      <c r="Q129" s="99" t="s">
        <v>1429</v>
      </c>
      <c r="R129" s="99"/>
      <c r="S129" s="99"/>
      <c r="T129" s="99"/>
      <c r="U129" s="99"/>
      <c r="V129" s="99" t="s">
        <v>46</v>
      </c>
      <c r="W129" s="99" t="s">
        <v>32</v>
      </c>
      <c r="X129" s="99" t="s">
        <v>37</v>
      </c>
      <c r="Y129" s="99">
        <v>5000</v>
      </c>
      <c r="Z129" s="99">
        <v>1</v>
      </c>
      <c r="AA129" s="99">
        <v>580</v>
      </c>
      <c r="AB129" s="99">
        <v>0</v>
      </c>
      <c r="AC129" s="99">
        <v>1480</v>
      </c>
      <c r="AD129" s="99">
        <v>0</v>
      </c>
      <c r="AE129" s="99">
        <v>0</v>
      </c>
      <c r="AF129" s="99">
        <v>0</v>
      </c>
      <c r="AG129" s="99">
        <v>2003</v>
      </c>
      <c r="AH129" s="99">
        <v>10</v>
      </c>
      <c r="AI129" s="99">
        <v>24</v>
      </c>
      <c r="AJ129" s="99">
        <v>0</v>
      </c>
      <c r="AK129" s="99">
        <v>0</v>
      </c>
      <c r="AL129" s="99">
        <v>0</v>
      </c>
      <c r="AM129" s="99">
        <v>0</v>
      </c>
      <c r="AN129" s="99">
        <v>0</v>
      </c>
      <c r="AO129" s="99">
        <v>0</v>
      </c>
      <c r="AP129" s="99">
        <v>0</v>
      </c>
      <c r="AQ129" s="99" t="s">
        <v>47</v>
      </c>
      <c r="AR129" s="99">
        <v>1763</v>
      </c>
      <c r="AS129" s="99">
        <v>4063</v>
      </c>
      <c r="AT129" s="99">
        <v>937</v>
      </c>
      <c r="AU129" s="99" t="s">
        <v>1345</v>
      </c>
      <c r="AV129" s="99">
        <v>100</v>
      </c>
      <c r="AW129" s="99" t="s">
        <v>528</v>
      </c>
      <c r="AX129" s="99" t="s">
        <v>1857</v>
      </c>
    </row>
    <row r="130" spans="1:50" ht="18" customHeight="1" x14ac:dyDescent="0.25">
      <c r="A130" s="349" t="s">
        <v>264</v>
      </c>
      <c r="B130" s="99" t="s">
        <v>265</v>
      </c>
      <c r="C130" s="99" t="s">
        <v>52</v>
      </c>
      <c r="D130" s="99" t="s">
        <v>45</v>
      </c>
      <c r="E130" s="350">
        <v>39083</v>
      </c>
      <c r="F130" s="99" t="s">
        <v>1429</v>
      </c>
      <c r="G130" s="590" t="s">
        <v>52</v>
      </c>
      <c r="H130" s="99">
        <v>0</v>
      </c>
      <c r="I130" s="99"/>
      <c r="J130" s="99"/>
      <c r="K130" s="99" t="s">
        <v>1429</v>
      </c>
      <c r="L130" s="99">
        <v>0</v>
      </c>
      <c r="M130" s="352">
        <v>43344</v>
      </c>
      <c r="N130" s="99"/>
      <c r="O130" s="99"/>
      <c r="P130" s="99" t="s">
        <v>1429</v>
      </c>
      <c r="Q130" s="99" t="s">
        <v>1429</v>
      </c>
      <c r="R130" s="99"/>
      <c r="S130" s="99" t="s">
        <v>1453</v>
      </c>
      <c r="T130" s="99"/>
      <c r="U130" s="99"/>
      <c r="V130" s="99" t="s">
        <v>71</v>
      </c>
      <c r="W130" s="99" t="s">
        <v>32</v>
      </c>
      <c r="X130" s="99" t="s">
        <v>37</v>
      </c>
      <c r="Y130" s="99">
        <v>0</v>
      </c>
      <c r="Z130" s="99">
        <v>0</v>
      </c>
      <c r="AA130" s="99">
        <v>580</v>
      </c>
      <c r="AB130" s="99">
        <v>0</v>
      </c>
      <c r="AC130" s="99">
        <v>0</v>
      </c>
      <c r="AD130" s="99">
        <v>0</v>
      </c>
      <c r="AE130" s="99">
        <v>0</v>
      </c>
      <c r="AF130" s="99">
        <v>0</v>
      </c>
      <c r="AG130" s="99">
        <v>0</v>
      </c>
      <c r="AH130" s="99">
        <v>0</v>
      </c>
      <c r="AI130" s="99">
        <v>24</v>
      </c>
      <c r="AJ130" s="99">
        <v>0</v>
      </c>
      <c r="AK130" s="99">
        <v>0</v>
      </c>
      <c r="AL130" s="99">
        <v>0</v>
      </c>
      <c r="AM130" s="99">
        <v>0</v>
      </c>
      <c r="AN130" s="99">
        <v>0</v>
      </c>
      <c r="AO130" s="99">
        <v>0</v>
      </c>
      <c r="AP130" s="99">
        <v>0</v>
      </c>
      <c r="AQ130" s="99"/>
      <c r="AR130" s="99">
        <v>0</v>
      </c>
      <c r="AS130" s="99">
        <v>0</v>
      </c>
      <c r="AT130" s="99">
        <v>0</v>
      </c>
      <c r="AU130" s="99" t="s">
        <v>1345</v>
      </c>
      <c r="AV130" s="99">
        <v>0</v>
      </c>
      <c r="AW130" s="99" t="s">
        <v>530</v>
      </c>
      <c r="AX130" s="99" t="s">
        <v>1188</v>
      </c>
    </row>
    <row r="131" spans="1:50" ht="18" customHeight="1" x14ac:dyDescent="0.25">
      <c r="A131" s="349" t="s">
        <v>579</v>
      </c>
      <c r="B131" s="99" t="s">
        <v>580</v>
      </c>
      <c r="C131" s="99" t="s">
        <v>30</v>
      </c>
      <c r="D131" s="99" t="s">
        <v>30</v>
      </c>
      <c r="E131" s="350">
        <v>42339</v>
      </c>
      <c r="F131" s="99" t="s">
        <v>37</v>
      </c>
      <c r="G131" s="590" t="s">
        <v>547</v>
      </c>
      <c r="H131" s="99">
        <v>240</v>
      </c>
      <c r="I131" s="351">
        <v>0.375</v>
      </c>
      <c r="J131" s="351">
        <v>0.70833333333333337</v>
      </c>
      <c r="K131" s="99" t="s">
        <v>37</v>
      </c>
      <c r="L131" s="99">
        <v>95</v>
      </c>
      <c r="M131" s="99" t="s">
        <v>1579</v>
      </c>
      <c r="N131" s="99" t="s">
        <v>1446</v>
      </c>
      <c r="O131" s="99"/>
      <c r="P131" s="99" t="s">
        <v>37</v>
      </c>
      <c r="Q131" s="99" t="s">
        <v>1429</v>
      </c>
      <c r="R131" s="99" t="s">
        <v>1580</v>
      </c>
      <c r="S131" s="99" t="s">
        <v>1453</v>
      </c>
      <c r="T131" s="99"/>
      <c r="U131" s="99"/>
      <c r="V131" s="99" t="s">
        <v>46</v>
      </c>
      <c r="W131" s="99" t="s">
        <v>32</v>
      </c>
      <c r="X131" s="99" t="s">
        <v>37</v>
      </c>
      <c r="Y131" s="99">
        <v>8100</v>
      </c>
      <c r="Z131" s="99"/>
      <c r="AA131" s="99">
        <v>580</v>
      </c>
      <c r="AB131" s="99">
        <v>0</v>
      </c>
      <c r="AC131" s="99">
        <v>1480</v>
      </c>
      <c r="AD131" s="99">
        <v>0</v>
      </c>
      <c r="AE131" s="99">
        <v>0</v>
      </c>
      <c r="AF131" s="99">
        <v>0</v>
      </c>
      <c r="AG131" s="99">
        <v>2123</v>
      </c>
      <c r="AH131" s="99">
        <v>15</v>
      </c>
      <c r="AI131" s="99">
        <v>24</v>
      </c>
      <c r="AJ131" s="99">
        <v>0</v>
      </c>
      <c r="AK131" s="99">
        <v>0</v>
      </c>
      <c r="AL131" s="99">
        <v>0</v>
      </c>
      <c r="AM131" s="99">
        <v>0</v>
      </c>
      <c r="AN131" s="99">
        <v>0</v>
      </c>
      <c r="AO131" s="99">
        <v>0</v>
      </c>
      <c r="AP131" s="99">
        <v>0</v>
      </c>
      <c r="AQ131" s="99" t="s">
        <v>47</v>
      </c>
      <c r="AR131" s="99">
        <v>1763</v>
      </c>
      <c r="AS131" s="99">
        <v>3603</v>
      </c>
      <c r="AT131" s="99">
        <v>4497</v>
      </c>
      <c r="AU131" s="99" t="s">
        <v>1345</v>
      </c>
      <c r="AV131" s="99">
        <v>162</v>
      </c>
      <c r="AW131" s="99" t="s">
        <v>527</v>
      </c>
      <c r="AX131" s="99" t="s">
        <v>1866</v>
      </c>
    </row>
    <row r="132" spans="1:50" ht="18" customHeight="1" x14ac:dyDescent="0.25">
      <c r="A132" s="349" t="s">
        <v>266</v>
      </c>
      <c r="B132" s="99" t="s">
        <v>267</v>
      </c>
      <c r="C132" s="99" t="s">
        <v>44</v>
      </c>
      <c r="D132" s="99" t="s">
        <v>30</v>
      </c>
      <c r="E132" s="350">
        <v>41122</v>
      </c>
      <c r="F132" s="99" t="s">
        <v>37</v>
      </c>
      <c r="G132" s="590" t="s">
        <v>44</v>
      </c>
      <c r="H132" s="99">
        <v>240</v>
      </c>
      <c r="I132" s="351">
        <v>0.375</v>
      </c>
      <c r="J132" s="351">
        <v>0.70833333333333337</v>
      </c>
      <c r="K132" s="99" t="s">
        <v>1429</v>
      </c>
      <c r="L132" s="99" t="s">
        <v>1435</v>
      </c>
      <c r="M132" s="352">
        <v>43285</v>
      </c>
      <c r="N132" s="99" t="s">
        <v>1446</v>
      </c>
      <c r="O132" s="99"/>
      <c r="P132" s="99" t="s">
        <v>37</v>
      </c>
      <c r="Q132" s="99" t="s">
        <v>1429</v>
      </c>
      <c r="R132" s="99" t="s">
        <v>1581</v>
      </c>
      <c r="S132" s="99" t="s">
        <v>1444</v>
      </c>
      <c r="T132" s="99"/>
      <c r="U132" s="99"/>
      <c r="V132" s="99" t="s">
        <v>46</v>
      </c>
      <c r="W132" s="99" t="s">
        <v>32</v>
      </c>
      <c r="X132" s="99" t="s">
        <v>37</v>
      </c>
      <c r="Y132" s="99">
        <v>2619</v>
      </c>
      <c r="Z132" s="99">
        <v>1</v>
      </c>
      <c r="AA132" s="99">
        <v>580</v>
      </c>
      <c r="AB132" s="99">
        <v>0</v>
      </c>
      <c r="AC132" s="99">
        <v>1480</v>
      </c>
      <c r="AD132" s="99">
        <v>0</v>
      </c>
      <c r="AE132" s="99">
        <v>0</v>
      </c>
      <c r="AF132" s="99">
        <v>0</v>
      </c>
      <c r="AG132" s="99">
        <v>2003</v>
      </c>
      <c r="AH132" s="99">
        <v>10</v>
      </c>
      <c r="AI132" s="99">
        <v>24</v>
      </c>
      <c r="AJ132" s="99">
        <v>0</v>
      </c>
      <c r="AK132" s="99">
        <v>0</v>
      </c>
      <c r="AL132" s="99">
        <v>0</v>
      </c>
      <c r="AM132" s="99">
        <v>0</v>
      </c>
      <c r="AN132" s="99">
        <v>0</v>
      </c>
      <c r="AO132" s="99">
        <v>0</v>
      </c>
      <c r="AP132" s="99">
        <v>0</v>
      </c>
      <c r="AQ132" s="99" t="s">
        <v>47</v>
      </c>
      <c r="AR132" s="99">
        <v>1763</v>
      </c>
      <c r="AS132" s="99">
        <v>4063</v>
      </c>
      <c r="AT132" s="99">
        <v>-1444</v>
      </c>
      <c r="AU132" s="99" t="s">
        <v>1345</v>
      </c>
      <c r="AV132" s="99">
        <v>52.38</v>
      </c>
      <c r="AW132" s="99" t="s">
        <v>530</v>
      </c>
      <c r="AX132" s="99" t="s">
        <v>1858</v>
      </c>
    </row>
    <row r="133" spans="1:50" ht="18" customHeight="1" x14ac:dyDescent="0.25">
      <c r="A133" s="349" t="s">
        <v>268</v>
      </c>
      <c r="B133" s="99" t="s">
        <v>269</v>
      </c>
      <c r="C133" s="99" t="s">
        <v>56</v>
      </c>
      <c r="D133" s="99" t="s">
        <v>56</v>
      </c>
      <c r="E133" s="350">
        <v>41548</v>
      </c>
      <c r="F133" s="99" t="s">
        <v>37</v>
      </c>
      <c r="G133" s="590" t="s">
        <v>547</v>
      </c>
      <c r="H133" s="99">
        <v>240</v>
      </c>
      <c r="I133" s="351">
        <v>0.375</v>
      </c>
      <c r="J133" s="351">
        <v>0.70833333333333337</v>
      </c>
      <c r="K133" s="99" t="s">
        <v>1429</v>
      </c>
      <c r="L133" s="99" t="s">
        <v>1435</v>
      </c>
      <c r="M133" s="352">
        <v>43256</v>
      </c>
      <c r="N133" s="99" t="s">
        <v>1582</v>
      </c>
      <c r="O133" s="99" t="s">
        <v>1432</v>
      </c>
      <c r="P133" s="99" t="s">
        <v>37</v>
      </c>
      <c r="Q133" s="99" t="s">
        <v>1429</v>
      </c>
      <c r="R133" s="99" t="s">
        <v>1583</v>
      </c>
      <c r="S133" s="99" t="s">
        <v>1444</v>
      </c>
      <c r="T133" s="99"/>
      <c r="U133" s="99"/>
      <c r="V133" s="99" t="s">
        <v>46</v>
      </c>
      <c r="W133" s="99" t="s">
        <v>32</v>
      </c>
      <c r="X133" s="99" t="s">
        <v>37</v>
      </c>
      <c r="Y133" s="99">
        <v>5000</v>
      </c>
      <c r="Z133" s="99">
        <v>1</v>
      </c>
      <c r="AA133" s="99">
        <v>580</v>
      </c>
      <c r="AB133" s="99">
        <v>0</v>
      </c>
      <c r="AC133" s="99">
        <v>1480</v>
      </c>
      <c r="AD133" s="99">
        <v>0</v>
      </c>
      <c r="AE133" s="99">
        <v>0</v>
      </c>
      <c r="AF133" s="99">
        <v>0</v>
      </c>
      <c r="AG133" s="99">
        <v>2003</v>
      </c>
      <c r="AH133" s="99">
        <v>10</v>
      </c>
      <c r="AI133" s="99">
        <v>24</v>
      </c>
      <c r="AJ133" s="99">
        <v>0</v>
      </c>
      <c r="AK133" s="99">
        <v>0</v>
      </c>
      <c r="AL133" s="99">
        <v>0</v>
      </c>
      <c r="AM133" s="99">
        <v>0</v>
      </c>
      <c r="AN133" s="99">
        <v>0</v>
      </c>
      <c r="AO133" s="99">
        <v>0</v>
      </c>
      <c r="AP133" s="99">
        <v>0</v>
      </c>
      <c r="AQ133" s="99" t="s">
        <v>47</v>
      </c>
      <c r="AR133" s="99">
        <v>1763</v>
      </c>
      <c r="AS133" s="99">
        <v>4063</v>
      </c>
      <c r="AT133" s="99">
        <v>937</v>
      </c>
      <c r="AU133" s="99" t="s">
        <v>1345</v>
      </c>
      <c r="AV133" s="99">
        <v>100</v>
      </c>
      <c r="AW133" s="99" t="s">
        <v>528</v>
      </c>
      <c r="AX133" s="99" t="s">
        <v>1854</v>
      </c>
    </row>
    <row r="134" spans="1:50" ht="18" customHeight="1" x14ac:dyDescent="0.25">
      <c r="A134" s="349" t="s">
        <v>270</v>
      </c>
      <c r="B134" s="99" t="s">
        <v>271</v>
      </c>
      <c r="C134" s="99" t="s">
        <v>35</v>
      </c>
      <c r="D134" s="99" t="s">
        <v>35</v>
      </c>
      <c r="E134" s="350">
        <v>41548</v>
      </c>
      <c r="F134" s="99" t="s">
        <v>1429</v>
      </c>
      <c r="G134" s="590" t="s">
        <v>44</v>
      </c>
      <c r="H134" s="99">
        <v>0</v>
      </c>
      <c r="I134" s="99"/>
      <c r="J134" s="99"/>
      <c r="K134" s="99" t="s">
        <v>1429</v>
      </c>
      <c r="L134" s="99">
        <v>0</v>
      </c>
      <c r="M134" s="99">
        <v>0</v>
      </c>
      <c r="N134" s="99"/>
      <c r="O134" s="99"/>
      <c r="P134" s="99" t="s">
        <v>37</v>
      </c>
      <c r="Q134" s="99" t="s">
        <v>1429</v>
      </c>
      <c r="R134" s="99"/>
      <c r="S134" s="99"/>
      <c r="T134" s="99"/>
      <c r="U134" s="99"/>
      <c r="V134" s="99" t="s">
        <v>46</v>
      </c>
      <c r="W134" s="99" t="s">
        <v>32</v>
      </c>
      <c r="X134" s="99" t="s">
        <v>37</v>
      </c>
      <c r="Y134" s="99">
        <v>200</v>
      </c>
      <c r="Z134" s="99"/>
      <c r="AA134" s="99">
        <v>580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240</v>
      </c>
      <c r="AH134" s="99">
        <v>10</v>
      </c>
      <c r="AI134" s="99">
        <v>24</v>
      </c>
      <c r="AJ134" s="99">
        <v>0</v>
      </c>
      <c r="AK134" s="99">
        <v>0</v>
      </c>
      <c r="AL134" s="99">
        <v>0</v>
      </c>
      <c r="AM134" s="99">
        <v>0</v>
      </c>
      <c r="AN134" s="99">
        <v>0</v>
      </c>
      <c r="AO134" s="99">
        <v>0</v>
      </c>
      <c r="AP134" s="99">
        <v>0</v>
      </c>
      <c r="AQ134" s="99" t="s">
        <v>47</v>
      </c>
      <c r="AR134" s="99">
        <v>0</v>
      </c>
      <c r="AS134" s="99">
        <v>240</v>
      </c>
      <c r="AT134" s="99">
        <v>-40</v>
      </c>
      <c r="AU134" s="99" t="s">
        <v>1345</v>
      </c>
      <c r="AV134" s="99">
        <v>4</v>
      </c>
      <c r="AW134" s="99" t="s">
        <v>673</v>
      </c>
      <c r="AX134" s="99"/>
    </row>
    <row r="135" spans="1:50" ht="18" customHeight="1" x14ac:dyDescent="0.25">
      <c r="A135" s="349" t="s">
        <v>273</v>
      </c>
      <c r="B135" s="99" t="s">
        <v>274</v>
      </c>
      <c r="C135" s="99" t="s">
        <v>40</v>
      </c>
      <c r="D135" s="99" t="s">
        <v>56</v>
      </c>
      <c r="E135" s="350">
        <v>41237</v>
      </c>
      <c r="F135" s="99" t="s">
        <v>37</v>
      </c>
      <c r="G135" s="590" t="s">
        <v>40</v>
      </c>
      <c r="H135" s="99">
        <v>120</v>
      </c>
      <c r="I135" s="351">
        <v>0.375</v>
      </c>
      <c r="J135" s="351">
        <v>0.70833333333333337</v>
      </c>
      <c r="K135" s="99" t="s">
        <v>1429</v>
      </c>
      <c r="L135" s="99" t="s">
        <v>1435</v>
      </c>
      <c r="M135" s="99">
        <v>20</v>
      </c>
      <c r="N135" s="99" t="s">
        <v>1585</v>
      </c>
      <c r="O135" s="99" t="s">
        <v>1432</v>
      </c>
      <c r="P135" s="99" t="s">
        <v>37</v>
      </c>
      <c r="Q135" s="99" t="s">
        <v>1429</v>
      </c>
      <c r="R135" s="99" t="s">
        <v>1586</v>
      </c>
      <c r="S135" s="99" t="s">
        <v>1444</v>
      </c>
      <c r="T135" s="99"/>
      <c r="U135" s="99"/>
      <c r="V135" s="99" t="s">
        <v>31</v>
      </c>
      <c r="W135" s="99" t="s">
        <v>32</v>
      </c>
      <c r="X135" s="99" t="s">
        <v>37</v>
      </c>
      <c r="Y135" s="99">
        <v>203</v>
      </c>
      <c r="Z135" s="99">
        <v>0</v>
      </c>
      <c r="AA135" s="99">
        <v>580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99">
        <v>1787</v>
      </c>
      <c r="AH135" s="99">
        <v>1</v>
      </c>
      <c r="AI135" s="99">
        <v>24</v>
      </c>
      <c r="AJ135" s="99">
        <v>0</v>
      </c>
      <c r="AK135" s="99">
        <v>0</v>
      </c>
      <c r="AL135" s="99">
        <v>0</v>
      </c>
      <c r="AM135" s="99">
        <v>0</v>
      </c>
      <c r="AN135" s="99">
        <v>0</v>
      </c>
      <c r="AO135" s="99">
        <v>0</v>
      </c>
      <c r="AP135" s="99">
        <v>0</v>
      </c>
      <c r="AQ135" s="99"/>
      <c r="AR135" s="99">
        <v>1763</v>
      </c>
      <c r="AS135" s="99">
        <v>1787</v>
      </c>
      <c r="AT135" s="99">
        <v>-1584</v>
      </c>
      <c r="AU135" s="99" t="s">
        <v>1345</v>
      </c>
      <c r="AV135" s="99">
        <v>4.0599999999999996</v>
      </c>
      <c r="AW135" s="99" t="s">
        <v>530</v>
      </c>
      <c r="AX135" s="99" t="s">
        <v>1045</v>
      </c>
    </row>
    <row r="136" spans="1:50" ht="18" customHeight="1" x14ac:dyDescent="0.25">
      <c r="A136" s="349" t="s">
        <v>275</v>
      </c>
      <c r="B136" s="99" t="s">
        <v>276</v>
      </c>
      <c r="C136" s="99" t="s">
        <v>30</v>
      </c>
      <c r="D136" s="99" t="s">
        <v>30</v>
      </c>
      <c r="E136" s="350">
        <v>40575</v>
      </c>
      <c r="F136" s="99" t="s">
        <v>37</v>
      </c>
      <c r="G136" s="590" t="s">
        <v>547</v>
      </c>
      <c r="H136" s="99">
        <v>0</v>
      </c>
      <c r="I136" s="351">
        <v>0.375</v>
      </c>
      <c r="J136" s="351">
        <v>0.70833333333333337</v>
      </c>
      <c r="K136" s="99" t="s">
        <v>1429</v>
      </c>
      <c r="L136" s="99" t="s">
        <v>1435</v>
      </c>
      <c r="M136" s="99">
        <v>5</v>
      </c>
      <c r="N136" s="99" t="s">
        <v>1587</v>
      </c>
      <c r="O136" s="99" t="s">
        <v>1432</v>
      </c>
      <c r="P136" s="99" t="s">
        <v>37</v>
      </c>
      <c r="Q136" s="99" t="s">
        <v>1429</v>
      </c>
      <c r="R136" s="99" t="s">
        <v>1588</v>
      </c>
      <c r="S136" s="99" t="s">
        <v>1453</v>
      </c>
      <c r="T136" s="99"/>
      <c r="U136" s="99" t="s">
        <v>36</v>
      </c>
      <c r="V136" s="99" t="s">
        <v>46</v>
      </c>
      <c r="W136" s="99" t="s">
        <v>32</v>
      </c>
      <c r="X136" s="99" t="s">
        <v>1429</v>
      </c>
      <c r="Y136" s="99">
        <v>1500</v>
      </c>
      <c r="Z136" s="99">
        <v>0</v>
      </c>
      <c r="AA136" s="99">
        <v>580</v>
      </c>
      <c r="AB136" s="99">
        <v>0</v>
      </c>
      <c r="AC136" s="99">
        <v>0</v>
      </c>
      <c r="AD136" s="99">
        <v>0</v>
      </c>
      <c r="AE136" s="99">
        <v>0</v>
      </c>
      <c r="AF136" s="99">
        <v>0</v>
      </c>
      <c r="AG136" s="99">
        <v>2003</v>
      </c>
      <c r="AH136" s="99">
        <v>10</v>
      </c>
      <c r="AI136" s="99">
        <v>24</v>
      </c>
      <c r="AJ136" s="99">
        <v>0</v>
      </c>
      <c r="AK136" s="99">
        <v>0</v>
      </c>
      <c r="AL136" s="99">
        <v>0</v>
      </c>
      <c r="AM136" s="99">
        <v>0</v>
      </c>
      <c r="AN136" s="99">
        <v>0</v>
      </c>
      <c r="AO136" s="99">
        <v>0</v>
      </c>
      <c r="AP136" s="99">
        <v>0</v>
      </c>
      <c r="AQ136" s="99" t="s">
        <v>47</v>
      </c>
      <c r="AR136" s="99">
        <v>1763</v>
      </c>
      <c r="AS136" s="99">
        <v>2003</v>
      </c>
      <c r="AT136" s="99">
        <v>-503</v>
      </c>
      <c r="AU136" s="99" t="s">
        <v>1345</v>
      </c>
      <c r="AV136" s="99">
        <v>30</v>
      </c>
      <c r="AW136" s="99" t="s">
        <v>530</v>
      </c>
      <c r="AX136" s="99" t="s">
        <v>1853</v>
      </c>
    </row>
    <row r="137" spans="1:50" ht="18" customHeight="1" x14ac:dyDescent="0.25">
      <c r="A137" s="349" t="s">
        <v>1879</v>
      </c>
      <c r="B137" s="99" t="s">
        <v>1880</v>
      </c>
      <c r="C137" s="99" t="s">
        <v>55</v>
      </c>
      <c r="D137" s="99" t="s">
        <v>35</v>
      </c>
      <c r="E137" s="350">
        <v>42979</v>
      </c>
      <c r="F137" s="99" t="s">
        <v>1429</v>
      </c>
      <c r="G137" s="590" t="s">
        <v>55</v>
      </c>
      <c r="H137" s="99">
        <v>240</v>
      </c>
      <c r="I137" s="351">
        <v>0.33333333333333331</v>
      </c>
      <c r="J137" s="351">
        <v>0.66666666666666663</v>
      </c>
      <c r="K137" s="99" t="s">
        <v>1429</v>
      </c>
      <c r="L137" s="99">
        <v>0</v>
      </c>
      <c r="M137" s="99">
        <v>0</v>
      </c>
      <c r="N137" s="99"/>
      <c r="O137" s="99" t="s">
        <v>1794</v>
      </c>
      <c r="P137" s="99" t="s">
        <v>37</v>
      </c>
      <c r="Q137" s="99" t="s">
        <v>1429</v>
      </c>
      <c r="R137" s="99"/>
      <c r="S137" s="99" t="s">
        <v>1444</v>
      </c>
      <c r="T137" s="99"/>
      <c r="U137" s="99"/>
      <c r="V137" s="99"/>
      <c r="W137" s="99" t="s">
        <v>32</v>
      </c>
      <c r="X137" s="99" t="s">
        <v>37</v>
      </c>
      <c r="Y137" s="99">
        <v>6400</v>
      </c>
      <c r="Z137" s="99">
        <v>1</v>
      </c>
      <c r="AA137" s="99">
        <v>580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1763</v>
      </c>
      <c r="AH137" s="99">
        <v>0</v>
      </c>
      <c r="AI137" s="99">
        <v>24</v>
      </c>
      <c r="AJ137" s="99">
        <v>0</v>
      </c>
      <c r="AK137" s="99">
        <v>0</v>
      </c>
      <c r="AL137" s="99">
        <v>0</v>
      </c>
      <c r="AM137" s="99">
        <v>0</v>
      </c>
      <c r="AN137" s="99">
        <v>0</v>
      </c>
      <c r="AO137" s="99">
        <v>0</v>
      </c>
      <c r="AP137" s="99">
        <v>0</v>
      </c>
      <c r="AQ137" s="99"/>
      <c r="AR137" s="99">
        <v>1763</v>
      </c>
      <c r="AS137" s="99">
        <v>2343</v>
      </c>
      <c r="AT137" s="99">
        <v>4057</v>
      </c>
      <c r="AU137" s="99" t="s">
        <v>1345</v>
      </c>
      <c r="AV137" s="99">
        <v>128</v>
      </c>
      <c r="AW137" s="99" t="s">
        <v>527</v>
      </c>
      <c r="AX137" s="99"/>
    </row>
    <row r="138" spans="1:50" ht="18" customHeight="1" x14ac:dyDescent="0.25">
      <c r="A138" s="349" t="s">
        <v>279</v>
      </c>
      <c r="B138" s="99" t="s">
        <v>280</v>
      </c>
      <c r="C138" s="99" t="s">
        <v>38</v>
      </c>
      <c r="D138" s="99" t="s">
        <v>38</v>
      </c>
      <c r="E138" s="350">
        <v>41913</v>
      </c>
      <c r="F138" s="99" t="s">
        <v>37</v>
      </c>
      <c r="G138" s="590" t="s">
        <v>66</v>
      </c>
      <c r="H138" s="99">
        <v>0</v>
      </c>
      <c r="I138" s="351">
        <v>0.375</v>
      </c>
      <c r="J138" s="351">
        <v>0.70833333333333337</v>
      </c>
      <c r="K138" s="99" t="s">
        <v>1429</v>
      </c>
      <c r="L138" s="99" t="s">
        <v>1435</v>
      </c>
      <c r="M138" s="99" t="s">
        <v>1589</v>
      </c>
      <c r="N138" s="99" t="s">
        <v>1590</v>
      </c>
      <c r="O138" s="99" t="s">
        <v>1432</v>
      </c>
      <c r="P138" s="99" t="s">
        <v>37</v>
      </c>
      <c r="Q138" s="99" t="s">
        <v>1429</v>
      </c>
      <c r="R138" s="99" t="s">
        <v>1591</v>
      </c>
      <c r="S138" s="99" t="s">
        <v>1691</v>
      </c>
      <c r="T138" s="350">
        <v>43388</v>
      </c>
      <c r="U138" s="99"/>
      <c r="V138" s="99" t="s">
        <v>46</v>
      </c>
      <c r="W138" s="99" t="s">
        <v>32</v>
      </c>
      <c r="X138" s="99" t="s">
        <v>37</v>
      </c>
      <c r="Y138" s="99">
        <v>12475</v>
      </c>
      <c r="Z138" s="99">
        <v>0</v>
      </c>
      <c r="AA138" s="99">
        <v>580</v>
      </c>
      <c r="AB138" s="99">
        <v>0</v>
      </c>
      <c r="AC138" s="99">
        <v>1480</v>
      </c>
      <c r="AD138" s="99">
        <v>0</v>
      </c>
      <c r="AE138" s="99">
        <v>0</v>
      </c>
      <c r="AF138" s="99">
        <v>0</v>
      </c>
      <c r="AG138" s="99">
        <v>2603</v>
      </c>
      <c r="AH138" s="99">
        <v>35</v>
      </c>
      <c r="AI138" s="99">
        <v>24</v>
      </c>
      <c r="AJ138" s="99">
        <v>0</v>
      </c>
      <c r="AK138" s="99">
        <v>0</v>
      </c>
      <c r="AL138" s="99">
        <v>0</v>
      </c>
      <c r="AM138" s="99">
        <v>0</v>
      </c>
      <c r="AN138" s="99">
        <v>0</v>
      </c>
      <c r="AO138" s="99">
        <v>0</v>
      </c>
      <c r="AP138" s="99">
        <v>0</v>
      </c>
      <c r="AQ138" s="99" t="s">
        <v>47</v>
      </c>
      <c r="AR138" s="99">
        <v>1763</v>
      </c>
      <c r="AS138" s="99">
        <v>4083</v>
      </c>
      <c r="AT138" s="99">
        <v>8392</v>
      </c>
      <c r="AU138" s="99" t="s">
        <v>1345</v>
      </c>
      <c r="AV138" s="99">
        <v>249.5</v>
      </c>
      <c r="AW138" s="99" t="s">
        <v>526</v>
      </c>
      <c r="AX138" s="99" t="s">
        <v>1852</v>
      </c>
    </row>
    <row r="139" spans="1:50" ht="18" customHeight="1" x14ac:dyDescent="0.25">
      <c r="A139" s="349" t="s">
        <v>283</v>
      </c>
      <c r="B139" s="99" t="s">
        <v>284</v>
      </c>
      <c r="C139" s="99" t="s">
        <v>55</v>
      </c>
      <c r="D139" s="99" t="s">
        <v>38</v>
      </c>
      <c r="E139" s="350">
        <v>39083</v>
      </c>
      <c r="F139" s="99" t="s">
        <v>1429</v>
      </c>
      <c r="G139" s="590" t="s">
        <v>55</v>
      </c>
      <c r="H139" s="99">
        <v>0</v>
      </c>
      <c r="I139" s="99"/>
      <c r="J139" s="99"/>
      <c r="K139" s="99" t="s">
        <v>1429</v>
      </c>
      <c r="L139" s="99" t="s">
        <v>1435</v>
      </c>
      <c r="M139" s="99">
        <v>0</v>
      </c>
      <c r="N139" s="99" t="s">
        <v>1592</v>
      </c>
      <c r="O139" s="99" t="s">
        <v>1432</v>
      </c>
      <c r="P139" s="99" t="s">
        <v>37</v>
      </c>
      <c r="Q139" s="99" t="s">
        <v>1429</v>
      </c>
      <c r="R139" s="99" t="s">
        <v>1593</v>
      </c>
      <c r="S139" s="99" t="s">
        <v>1465</v>
      </c>
      <c r="T139" s="99"/>
      <c r="U139" s="99" t="s">
        <v>36</v>
      </c>
      <c r="V139" s="99" t="s">
        <v>31</v>
      </c>
      <c r="W139" s="99" t="s">
        <v>32</v>
      </c>
      <c r="X139" s="99" t="s">
        <v>37</v>
      </c>
      <c r="Y139" s="99">
        <v>12000</v>
      </c>
      <c r="Z139" s="99">
        <v>8</v>
      </c>
      <c r="AA139" s="99">
        <v>580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3203</v>
      </c>
      <c r="AH139" s="99">
        <v>60</v>
      </c>
      <c r="AI139" s="99">
        <v>24</v>
      </c>
      <c r="AJ139" s="99">
        <v>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/>
      <c r="AR139" s="99">
        <v>1763</v>
      </c>
      <c r="AS139" s="99">
        <v>7843</v>
      </c>
      <c r="AT139" s="99">
        <v>4157</v>
      </c>
      <c r="AU139" s="99" t="s">
        <v>1345</v>
      </c>
      <c r="AV139" s="99">
        <v>240</v>
      </c>
      <c r="AW139" s="99" t="s">
        <v>680</v>
      </c>
      <c r="AX139" s="99" t="s">
        <v>1796</v>
      </c>
    </row>
    <row r="140" spans="1:50" ht="18" customHeight="1" x14ac:dyDescent="0.25">
      <c r="A140" s="349" t="s">
        <v>287</v>
      </c>
      <c r="B140" s="99" t="s">
        <v>288</v>
      </c>
      <c r="C140" s="99" t="s">
        <v>30</v>
      </c>
      <c r="D140" s="99" t="s">
        <v>30</v>
      </c>
      <c r="E140" s="350">
        <v>40424</v>
      </c>
      <c r="F140" s="99" t="s">
        <v>1429</v>
      </c>
      <c r="G140" s="590" t="s">
        <v>272</v>
      </c>
      <c r="H140" s="99">
        <v>240</v>
      </c>
      <c r="I140" s="351">
        <v>0.33333333333333331</v>
      </c>
      <c r="J140" s="351">
        <v>0.70833333333333337</v>
      </c>
      <c r="K140" s="99" t="s">
        <v>1429</v>
      </c>
      <c r="L140" s="99">
        <v>0</v>
      </c>
      <c r="M140" s="352">
        <v>43228</v>
      </c>
      <c r="N140" s="99"/>
      <c r="O140" s="99" t="s">
        <v>1594</v>
      </c>
      <c r="P140" s="99" t="s">
        <v>1429</v>
      </c>
      <c r="Q140" s="99" t="s">
        <v>1429</v>
      </c>
      <c r="R140" s="99" t="s">
        <v>1595</v>
      </c>
      <c r="S140" s="99" t="s">
        <v>1453</v>
      </c>
      <c r="T140" s="99"/>
      <c r="U140" s="99"/>
      <c r="V140" s="99" t="s">
        <v>46</v>
      </c>
      <c r="W140" s="99" t="s">
        <v>32</v>
      </c>
      <c r="X140" s="99" t="s">
        <v>37</v>
      </c>
      <c r="Y140" s="99">
        <v>5250</v>
      </c>
      <c r="Z140" s="99">
        <v>1</v>
      </c>
      <c r="AA140" s="99">
        <v>580</v>
      </c>
      <c r="AB140" s="99">
        <v>0</v>
      </c>
      <c r="AC140" s="99">
        <v>1480</v>
      </c>
      <c r="AD140" s="99">
        <v>0</v>
      </c>
      <c r="AE140" s="99">
        <v>0</v>
      </c>
      <c r="AF140" s="99">
        <v>0</v>
      </c>
      <c r="AG140" s="99">
        <v>1763</v>
      </c>
      <c r="AH140" s="99">
        <v>0</v>
      </c>
      <c r="AI140" s="99">
        <v>24</v>
      </c>
      <c r="AJ140" s="99">
        <v>0</v>
      </c>
      <c r="AK140" s="99">
        <v>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 t="s">
        <v>47</v>
      </c>
      <c r="AR140" s="99">
        <v>1763</v>
      </c>
      <c r="AS140" s="99">
        <v>3823</v>
      </c>
      <c r="AT140" s="99">
        <v>1427</v>
      </c>
      <c r="AU140" s="99" t="s">
        <v>1345</v>
      </c>
      <c r="AV140" s="99">
        <v>105</v>
      </c>
      <c r="AW140" s="99" t="s">
        <v>527</v>
      </c>
      <c r="AX140" s="99" t="s">
        <v>1855</v>
      </c>
    </row>
    <row r="141" spans="1:50" ht="18" customHeight="1" x14ac:dyDescent="0.25">
      <c r="A141" s="349" t="s">
        <v>289</v>
      </c>
      <c r="B141" s="99" t="s">
        <v>290</v>
      </c>
      <c r="C141" s="99" t="s">
        <v>29</v>
      </c>
      <c r="D141" s="99" t="s">
        <v>30</v>
      </c>
      <c r="E141" s="350">
        <v>41640</v>
      </c>
      <c r="F141" s="99" t="s">
        <v>37</v>
      </c>
      <c r="G141" s="590" t="s">
        <v>29</v>
      </c>
      <c r="H141" s="99">
        <v>120</v>
      </c>
      <c r="I141" s="351">
        <v>0.375</v>
      </c>
      <c r="J141" s="351">
        <v>0.70833333333333337</v>
      </c>
      <c r="K141" s="99" t="s">
        <v>1429</v>
      </c>
      <c r="L141" s="99" t="s">
        <v>1435</v>
      </c>
      <c r="M141" s="99">
        <v>196</v>
      </c>
      <c r="N141" s="99" t="s">
        <v>1512</v>
      </c>
      <c r="O141" s="99" t="s">
        <v>1432</v>
      </c>
      <c r="P141" s="99" t="s">
        <v>37</v>
      </c>
      <c r="Q141" s="99" t="s">
        <v>1429</v>
      </c>
      <c r="R141" s="99" t="s">
        <v>1797</v>
      </c>
      <c r="S141" s="99" t="s">
        <v>1453</v>
      </c>
      <c r="T141" s="99"/>
      <c r="U141" s="99"/>
      <c r="V141" s="99" t="s">
        <v>59</v>
      </c>
      <c r="W141" s="99" t="s">
        <v>32</v>
      </c>
      <c r="X141" s="99" t="s">
        <v>37</v>
      </c>
      <c r="Y141" s="99">
        <v>1800</v>
      </c>
      <c r="Z141" s="99"/>
      <c r="AA141" s="99">
        <v>580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99">
        <v>1787</v>
      </c>
      <c r="AH141" s="99">
        <v>1</v>
      </c>
      <c r="AI141" s="99">
        <v>24</v>
      </c>
      <c r="AJ141" s="99">
        <v>0</v>
      </c>
      <c r="AK141" s="99">
        <v>0</v>
      </c>
      <c r="AL141" s="99">
        <v>0</v>
      </c>
      <c r="AM141" s="99">
        <v>0</v>
      </c>
      <c r="AN141" s="99">
        <v>0</v>
      </c>
      <c r="AO141" s="99">
        <v>0</v>
      </c>
      <c r="AP141" s="99">
        <v>0</v>
      </c>
      <c r="AQ141" s="99"/>
      <c r="AR141" s="99">
        <v>1763</v>
      </c>
      <c r="AS141" s="99">
        <v>1787</v>
      </c>
      <c r="AT141" s="99">
        <v>13</v>
      </c>
      <c r="AU141" s="99" t="s">
        <v>1345</v>
      </c>
      <c r="AV141" s="99">
        <v>36</v>
      </c>
      <c r="AW141" s="99" t="s">
        <v>528</v>
      </c>
      <c r="AX141" s="99" t="s">
        <v>1046</v>
      </c>
    </row>
    <row r="142" spans="1:50" ht="18" customHeight="1" x14ac:dyDescent="0.25">
      <c r="A142" s="349" t="s">
        <v>1836</v>
      </c>
      <c r="B142" s="99" t="s">
        <v>291</v>
      </c>
      <c r="C142" s="99" t="s">
        <v>30</v>
      </c>
      <c r="D142" s="99" t="s">
        <v>30</v>
      </c>
      <c r="E142" s="350">
        <v>40963</v>
      </c>
      <c r="F142" s="99" t="s">
        <v>37</v>
      </c>
      <c r="G142" s="590" t="s">
        <v>44</v>
      </c>
      <c r="H142" s="99">
        <v>240</v>
      </c>
      <c r="I142" s="351">
        <v>0.375</v>
      </c>
      <c r="J142" s="351">
        <v>0.70833333333333337</v>
      </c>
      <c r="K142" s="99" t="s">
        <v>1429</v>
      </c>
      <c r="L142" s="99" t="s">
        <v>1435</v>
      </c>
      <c r="M142" s="99" t="s">
        <v>1596</v>
      </c>
      <c r="N142" s="99" t="s">
        <v>1597</v>
      </c>
      <c r="O142" s="99"/>
      <c r="P142" s="99" t="s">
        <v>37</v>
      </c>
      <c r="Q142" s="99" t="s">
        <v>1429</v>
      </c>
      <c r="R142" s="99" t="s">
        <v>1598</v>
      </c>
      <c r="S142" s="99" t="s">
        <v>1444</v>
      </c>
      <c r="T142" s="99"/>
      <c r="U142" s="99" t="s">
        <v>109</v>
      </c>
      <c r="V142" s="99" t="s">
        <v>46</v>
      </c>
      <c r="W142" s="99" t="s">
        <v>32</v>
      </c>
      <c r="X142" s="99" t="s">
        <v>37</v>
      </c>
      <c r="Y142" s="99">
        <v>7500</v>
      </c>
      <c r="Z142" s="99">
        <v>0</v>
      </c>
      <c r="AA142" s="99">
        <v>580</v>
      </c>
      <c r="AB142" s="99">
        <v>0</v>
      </c>
      <c r="AC142" s="99">
        <v>1480</v>
      </c>
      <c r="AD142" s="99">
        <v>0</v>
      </c>
      <c r="AE142" s="99">
        <v>0</v>
      </c>
      <c r="AF142" s="99">
        <v>0</v>
      </c>
      <c r="AG142" s="99">
        <v>4163</v>
      </c>
      <c r="AH142" s="99">
        <v>100</v>
      </c>
      <c r="AI142" s="99">
        <v>24</v>
      </c>
      <c r="AJ142" s="99">
        <v>0</v>
      </c>
      <c r="AK142" s="99">
        <v>0</v>
      </c>
      <c r="AL142" s="99">
        <v>0</v>
      </c>
      <c r="AM142" s="99">
        <v>0</v>
      </c>
      <c r="AN142" s="99">
        <v>0</v>
      </c>
      <c r="AO142" s="99">
        <v>0</v>
      </c>
      <c r="AP142" s="99">
        <v>0</v>
      </c>
      <c r="AQ142" s="99" t="s">
        <v>47</v>
      </c>
      <c r="AR142" s="99">
        <v>1763</v>
      </c>
      <c r="AS142" s="99">
        <v>5643</v>
      </c>
      <c r="AT142" s="99">
        <v>1857</v>
      </c>
      <c r="AU142" s="99" t="s">
        <v>1345</v>
      </c>
      <c r="AV142" s="99">
        <v>150</v>
      </c>
      <c r="AW142" s="99" t="s">
        <v>527</v>
      </c>
      <c r="AX142" s="99" t="s">
        <v>1854</v>
      </c>
    </row>
    <row r="143" spans="1:50" ht="18" customHeight="1" x14ac:dyDescent="0.25">
      <c r="A143" s="349" t="s">
        <v>292</v>
      </c>
      <c r="B143" s="99" t="s">
        <v>293</v>
      </c>
      <c r="C143" s="99" t="s">
        <v>38</v>
      </c>
      <c r="D143" s="99" t="s">
        <v>38</v>
      </c>
      <c r="E143" s="350">
        <v>41852</v>
      </c>
      <c r="F143" s="99" t="s">
        <v>1429</v>
      </c>
      <c r="G143" s="590" t="s">
        <v>66</v>
      </c>
      <c r="H143" s="99">
        <v>240</v>
      </c>
      <c r="I143" s="351">
        <v>0.375</v>
      </c>
      <c r="J143" s="351">
        <v>0.70833333333333337</v>
      </c>
      <c r="K143" s="99" t="s">
        <v>1429</v>
      </c>
      <c r="L143" s="99" t="s">
        <v>1435</v>
      </c>
      <c r="M143" s="99" t="s">
        <v>1599</v>
      </c>
      <c r="N143" s="99" t="s">
        <v>1600</v>
      </c>
      <c r="O143" s="99" t="s">
        <v>1432</v>
      </c>
      <c r="P143" s="99" t="s">
        <v>37</v>
      </c>
      <c r="Q143" s="99" t="s">
        <v>1429</v>
      </c>
      <c r="R143" s="99" t="s">
        <v>1867</v>
      </c>
      <c r="S143" s="99" t="s">
        <v>1453</v>
      </c>
      <c r="T143" s="350">
        <v>43312</v>
      </c>
      <c r="U143" s="99"/>
      <c r="V143" s="99" t="s">
        <v>46</v>
      </c>
      <c r="W143" s="99" t="s">
        <v>32</v>
      </c>
      <c r="X143" s="99" t="s">
        <v>1429</v>
      </c>
      <c r="Y143" s="99">
        <v>3500</v>
      </c>
      <c r="Z143" s="99">
        <v>0</v>
      </c>
      <c r="AA143" s="99">
        <v>580</v>
      </c>
      <c r="AB143" s="99">
        <v>0</v>
      </c>
      <c r="AC143" s="99">
        <v>1480</v>
      </c>
      <c r="AD143" s="99">
        <v>0</v>
      </c>
      <c r="AE143" s="99">
        <v>0</v>
      </c>
      <c r="AF143" s="99">
        <v>0</v>
      </c>
      <c r="AG143" s="99">
        <v>2363</v>
      </c>
      <c r="AH143" s="99">
        <v>25</v>
      </c>
      <c r="AI143" s="99">
        <v>24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 t="s">
        <v>47</v>
      </c>
      <c r="AR143" s="99">
        <v>1763</v>
      </c>
      <c r="AS143" s="99">
        <v>3843</v>
      </c>
      <c r="AT143" s="99">
        <v>-343</v>
      </c>
      <c r="AU143" s="99" t="s">
        <v>1345</v>
      </c>
      <c r="AV143" s="99">
        <v>70</v>
      </c>
      <c r="AW143" s="99" t="s">
        <v>530</v>
      </c>
      <c r="AX143" s="99" t="s">
        <v>1868</v>
      </c>
    </row>
    <row r="144" spans="1:50" ht="18" customHeight="1" x14ac:dyDescent="0.25">
      <c r="A144" s="349" t="s">
        <v>296</v>
      </c>
      <c r="B144" s="99" t="s">
        <v>297</v>
      </c>
      <c r="C144" s="99" t="s">
        <v>38</v>
      </c>
      <c r="D144" s="99" t="s">
        <v>38</v>
      </c>
      <c r="E144" s="350">
        <v>41913</v>
      </c>
      <c r="F144" s="99" t="s">
        <v>1429</v>
      </c>
      <c r="G144" s="590"/>
      <c r="H144" s="99">
        <v>0</v>
      </c>
      <c r="I144" s="99"/>
      <c r="J144" s="99"/>
      <c r="K144" s="99" t="s">
        <v>1429</v>
      </c>
      <c r="L144" s="99">
        <v>96</v>
      </c>
      <c r="M144" s="99">
        <v>0</v>
      </c>
      <c r="N144" s="99"/>
      <c r="O144" s="99"/>
      <c r="P144" s="99" t="s">
        <v>37</v>
      </c>
      <c r="Q144" s="99" t="s">
        <v>1429</v>
      </c>
      <c r="R144" s="99"/>
      <c r="S144" s="99" t="s">
        <v>1444</v>
      </c>
      <c r="T144" s="350">
        <v>43100</v>
      </c>
      <c r="U144" s="99"/>
      <c r="V144" s="99"/>
      <c r="W144" s="99" t="s">
        <v>32</v>
      </c>
      <c r="X144" s="99" t="s">
        <v>37</v>
      </c>
      <c r="Y144" s="99">
        <v>35000</v>
      </c>
      <c r="Z144" s="99">
        <v>0</v>
      </c>
      <c r="AA144" s="99">
        <v>580</v>
      </c>
      <c r="AB144" s="99">
        <v>0</v>
      </c>
      <c r="AC144" s="99">
        <v>1480</v>
      </c>
      <c r="AD144" s="99">
        <v>0</v>
      </c>
      <c r="AE144" s="99">
        <v>0</v>
      </c>
      <c r="AF144" s="99">
        <v>0</v>
      </c>
      <c r="AG144" s="99">
        <v>4163</v>
      </c>
      <c r="AH144" s="99">
        <v>100</v>
      </c>
      <c r="AI144" s="99">
        <v>24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 t="s">
        <v>47</v>
      </c>
      <c r="AR144" s="99">
        <v>1763</v>
      </c>
      <c r="AS144" s="99">
        <v>5643</v>
      </c>
      <c r="AT144" s="99">
        <v>29357</v>
      </c>
      <c r="AU144" s="99" t="s">
        <v>1345</v>
      </c>
      <c r="AV144" s="99">
        <v>700</v>
      </c>
      <c r="AW144" s="99" t="s">
        <v>526</v>
      </c>
      <c r="AX144" s="99" t="s">
        <v>1869</v>
      </c>
    </row>
    <row r="145" spans="1:50" ht="18" customHeight="1" x14ac:dyDescent="0.25">
      <c r="A145" s="349" t="s">
        <v>302</v>
      </c>
      <c r="B145" s="99" t="s">
        <v>303</v>
      </c>
      <c r="C145" s="99" t="s">
        <v>38</v>
      </c>
      <c r="D145" s="99" t="s">
        <v>38</v>
      </c>
      <c r="E145" s="350">
        <v>41944</v>
      </c>
      <c r="F145" s="99" t="s">
        <v>1429</v>
      </c>
      <c r="G145" s="590" t="s">
        <v>272</v>
      </c>
      <c r="H145" s="99">
        <v>240</v>
      </c>
      <c r="I145" s="351">
        <v>0.375</v>
      </c>
      <c r="J145" s="351">
        <v>0.70833333333333337</v>
      </c>
      <c r="K145" s="99" t="s">
        <v>1429</v>
      </c>
      <c r="L145" s="99" t="s">
        <v>1435</v>
      </c>
      <c r="M145" s="99" t="s">
        <v>1601</v>
      </c>
      <c r="N145" s="99" t="s">
        <v>1602</v>
      </c>
      <c r="O145" s="99" t="s">
        <v>1603</v>
      </c>
      <c r="P145" s="99" t="s">
        <v>37</v>
      </c>
      <c r="Q145" s="99" t="s">
        <v>1429</v>
      </c>
      <c r="R145" s="99" t="s">
        <v>1798</v>
      </c>
      <c r="S145" s="99" t="s">
        <v>1444</v>
      </c>
      <c r="T145" s="99"/>
      <c r="U145" s="99"/>
      <c r="V145" s="99" t="s">
        <v>46</v>
      </c>
      <c r="W145" s="99" t="s">
        <v>32</v>
      </c>
      <c r="X145" s="99" t="s">
        <v>37</v>
      </c>
      <c r="Y145" s="548">
        <v>43132</v>
      </c>
      <c r="Z145" s="99">
        <v>0</v>
      </c>
      <c r="AA145" s="99">
        <v>580</v>
      </c>
      <c r="AB145" s="99">
        <v>0</v>
      </c>
      <c r="AC145" s="99">
        <v>1480</v>
      </c>
      <c r="AD145" s="99">
        <v>0</v>
      </c>
      <c r="AE145" s="99">
        <v>0</v>
      </c>
      <c r="AF145" s="99">
        <v>0</v>
      </c>
      <c r="AG145" s="99">
        <v>2723</v>
      </c>
      <c r="AH145" s="99">
        <v>40</v>
      </c>
      <c r="AI145" s="99">
        <v>24</v>
      </c>
      <c r="AJ145" s="99">
        <v>0</v>
      </c>
      <c r="AK145" s="99">
        <v>0</v>
      </c>
      <c r="AL145" s="99">
        <v>0</v>
      </c>
      <c r="AM145" s="99">
        <v>0</v>
      </c>
      <c r="AN145" s="99">
        <v>0</v>
      </c>
      <c r="AO145" s="99">
        <v>0</v>
      </c>
      <c r="AP145" s="99">
        <v>0</v>
      </c>
      <c r="AQ145" s="99" t="s">
        <v>47</v>
      </c>
      <c r="AR145" s="99">
        <v>1763</v>
      </c>
      <c r="AS145" s="99">
        <v>4203</v>
      </c>
      <c r="AT145" s="99">
        <v>-4201.8</v>
      </c>
      <c r="AU145" s="99" t="s">
        <v>1345</v>
      </c>
      <c r="AV145" s="99">
        <v>0.02</v>
      </c>
      <c r="AW145" s="99" t="s">
        <v>679</v>
      </c>
      <c r="AX145" s="99" t="s">
        <v>1853</v>
      </c>
    </row>
    <row r="146" spans="1:50" ht="18" customHeight="1" x14ac:dyDescent="0.25">
      <c r="A146" s="349" t="s">
        <v>304</v>
      </c>
      <c r="B146" s="99" t="s">
        <v>581</v>
      </c>
      <c r="C146" s="99" t="s">
        <v>38</v>
      </c>
      <c r="D146" s="99" t="s">
        <v>38</v>
      </c>
      <c r="E146" s="350">
        <v>42948</v>
      </c>
      <c r="F146" s="99" t="s">
        <v>1429</v>
      </c>
      <c r="G146" s="590" t="s">
        <v>126</v>
      </c>
      <c r="H146" s="99">
        <v>240</v>
      </c>
      <c r="I146" s="351">
        <v>0.375</v>
      </c>
      <c r="J146" s="351">
        <v>0.70833333333333337</v>
      </c>
      <c r="K146" s="99" t="s">
        <v>1429</v>
      </c>
      <c r="L146" s="99" t="s">
        <v>1435</v>
      </c>
      <c r="M146" s="99" t="s">
        <v>1604</v>
      </c>
      <c r="N146" s="99" t="s">
        <v>1605</v>
      </c>
      <c r="O146" s="99" t="s">
        <v>1603</v>
      </c>
      <c r="P146" s="99" t="s">
        <v>37</v>
      </c>
      <c r="Q146" s="99" t="s">
        <v>1429</v>
      </c>
      <c r="R146" s="99" t="s">
        <v>1799</v>
      </c>
      <c r="S146" s="99" t="s">
        <v>1444</v>
      </c>
      <c r="T146" s="350">
        <v>43312</v>
      </c>
      <c r="U146" s="99"/>
      <c r="V146" s="99" t="s">
        <v>46</v>
      </c>
      <c r="W146" s="99" t="s">
        <v>32</v>
      </c>
      <c r="X146" s="99" t="s">
        <v>37</v>
      </c>
      <c r="Y146" s="99">
        <v>72500</v>
      </c>
      <c r="Z146" s="99"/>
      <c r="AA146" s="99">
        <v>580</v>
      </c>
      <c r="AB146" s="99">
        <v>0</v>
      </c>
      <c r="AC146" s="99">
        <v>1480</v>
      </c>
      <c r="AD146" s="99">
        <v>0</v>
      </c>
      <c r="AE146" s="99">
        <v>0</v>
      </c>
      <c r="AF146" s="99">
        <v>0</v>
      </c>
      <c r="AG146" s="99">
        <v>3683</v>
      </c>
      <c r="AH146" s="99">
        <v>80</v>
      </c>
      <c r="AI146" s="99">
        <v>24</v>
      </c>
      <c r="AJ146" s="99">
        <v>0</v>
      </c>
      <c r="AK146" s="99">
        <v>0</v>
      </c>
      <c r="AL146" s="99">
        <v>0</v>
      </c>
      <c r="AM146" s="99">
        <v>0</v>
      </c>
      <c r="AN146" s="99">
        <v>0</v>
      </c>
      <c r="AO146" s="99">
        <v>0</v>
      </c>
      <c r="AP146" s="99">
        <v>0</v>
      </c>
      <c r="AQ146" s="99" t="s">
        <v>576</v>
      </c>
      <c r="AR146" s="99">
        <v>1763</v>
      </c>
      <c r="AS146" s="99">
        <v>5163</v>
      </c>
      <c r="AT146" s="99">
        <v>67337</v>
      </c>
      <c r="AU146" s="99" t="s">
        <v>1345</v>
      </c>
      <c r="AV146" s="99">
        <v>1450</v>
      </c>
      <c r="AW146" s="99" t="s">
        <v>526</v>
      </c>
      <c r="AX146" s="99" t="s">
        <v>1866</v>
      </c>
    </row>
    <row r="147" spans="1:50" ht="18" customHeight="1" x14ac:dyDescent="0.25">
      <c r="A147" s="349" t="s">
        <v>305</v>
      </c>
      <c r="B147" s="99" t="s">
        <v>306</v>
      </c>
      <c r="C147" s="99" t="s">
        <v>52</v>
      </c>
      <c r="D147" s="99" t="s">
        <v>45</v>
      </c>
      <c r="E147" s="350">
        <v>41075</v>
      </c>
      <c r="F147" s="99" t="s">
        <v>37</v>
      </c>
      <c r="G147" s="590" t="s">
        <v>52</v>
      </c>
      <c r="H147" s="99">
        <v>120</v>
      </c>
      <c r="I147" s="351">
        <v>0.375</v>
      </c>
      <c r="J147" s="351">
        <v>0.70833333333333337</v>
      </c>
      <c r="K147" s="99" t="s">
        <v>1429</v>
      </c>
      <c r="L147" s="99" t="s">
        <v>1435</v>
      </c>
      <c r="M147" s="99">
        <v>0</v>
      </c>
      <c r="N147" s="99" t="s">
        <v>1606</v>
      </c>
      <c r="O147" s="99" t="s">
        <v>1603</v>
      </c>
      <c r="P147" s="99" t="s">
        <v>37</v>
      </c>
      <c r="Q147" s="99" t="s">
        <v>1429</v>
      </c>
      <c r="R147" s="99" t="s">
        <v>1607</v>
      </c>
      <c r="S147" s="99" t="s">
        <v>1453</v>
      </c>
      <c r="T147" s="99"/>
      <c r="U147" s="99"/>
      <c r="V147" s="99" t="s">
        <v>307</v>
      </c>
      <c r="W147" s="99" t="s">
        <v>32</v>
      </c>
      <c r="X147" s="99" t="s">
        <v>37</v>
      </c>
      <c r="Y147" s="99">
        <v>2500</v>
      </c>
      <c r="Z147" s="99">
        <v>0</v>
      </c>
      <c r="AA147" s="99">
        <v>580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99">
        <v>4163</v>
      </c>
      <c r="AH147" s="99">
        <v>100</v>
      </c>
      <c r="AI147" s="99">
        <v>24</v>
      </c>
      <c r="AJ147" s="99">
        <v>0</v>
      </c>
      <c r="AK147" s="99">
        <v>0</v>
      </c>
      <c r="AL147" s="99">
        <v>0</v>
      </c>
      <c r="AM147" s="99">
        <v>0</v>
      </c>
      <c r="AN147" s="99">
        <v>0</v>
      </c>
      <c r="AO147" s="99">
        <v>0</v>
      </c>
      <c r="AP147" s="99">
        <v>0</v>
      </c>
      <c r="AQ147" s="99"/>
      <c r="AR147" s="99">
        <v>1763</v>
      </c>
      <c r="AS147" s="99">
        <v>4163</v>
      </c>
      <c r="AT147" s="99">
        <v>-1663</v>
      </c>
      <c r="AU147" s="99" t="s">
        <v>1345</v>
      </c>
      <c r="AV147" s="99">
        <v>50</v>
      </c>
      <c r="AW147" s="99" t="s">
        <v>530</v>
      </c>
      <c r="AX147" s="99" t="s">
        <v>1048</v>
      </c>
    </row>
    <row r="148" spans="1:50" ht="18" customHeight="1" x14ac:dyDescent="0.25">
      <c r="A148" s="349" t="s">
        <v>308</v>
      </c>
      <c r="B148" s="99" t="s">
        <v>309</v>
      </c>
      <c r="C148" s="99" t="s">
        <v>40</v>
      </c>
      <c r="D148" s="99" t="s">
        <v>35</v>
      </c>
      <c r="E148" s="350">
        <v>40358</v>
      </c>
      <c r="F148" s="99" t="s">
        <v>37</v>
      </c>
      <c r="G148" s="590" t="s">
        <v>40</v>
      </c>
      <c r="H148" s="99">
        <v>120</v>
      </c>
      <c r="I148" s="351">
        <v>0.375</v>
      </c>
      <c r="J148" s="351">
        <v>0.70833333333333337</v>
      </c>
      <c r="K148" s="99" t="s">
        <v>1429</v>
      </c>
      <c r="L148" s="99" t="s">
        <v>1435</v>
      </c>
      <c r="M148" s="99" t="s">
        <v>1608</v>
      </c>
      <c r="N148" s="99" t="s">
        <v>1609</v>
      </c>
      <c r="O148" s="99" t="s">
        <v>1603</v>
      </c>
      <c r="P148" s="99" t="s">
        <v>37</v>
      </c>
      <c r="Q148" s="99" t="s">
        <v>1429</v>
      </c>
      <c r="R148" s="99" t="s">
        <v>1610</v>
      </c>
      <c r="S148" s="99" t="s">
        <v>1453</v>
      </c>
      <c r="T148" s="99"/>
      <c r="U148" s="99"/>
      <c r="V148" s="99" t="s">
        <v>31</v>
      </c>
      <c r="W148" s="99" t="s">
        <v>32</v>
      </c>
      <c r="X148" s="99" t="s">
        <v>37</v>
      </c>
      <c r="Y148" s="99">
        <v>505</v>
      </c>
      <c r="Z148" s="99">
        <v>0</v>
      </c>
      <c r="AA148" s="99">
        <v>580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1811</v>
      </c>
      <c r="AH148" s="99">
        <v>2</v>
      </c>
      <c r="AI148" s="99">
        <v>24</v>
      </c>
      <c r="AJ148" s="99">
        <v>0</v>
      </c>
      <c r="AK148" s="99">
        <v>0</v>
      </c>
      <c r="AL148" s="99">
        <v>15</v>
      </c>
      <c r="AM148" s="99">
        <v>0</v>
      </c>
      <c r="AN148" s="99">
        <v>0</v>
      </c>
      <c r="AO148" s="99">
        <v>0</v>
      </c>
      <c r="AP148" s="99">
        <v>0</v>
      </c>
      <c r="AQ148" s="99"/>
      <c r="AR148" s="99">
        <v>1763</v>
      </c>
      <c r="AS148" s="99">
        <v>1811</v>
      </c>
      <c r="AT148" s="99">
        <v>-1306</v>
      </c>
      <c r="AU148" s="99" t="s">
        <v>1345</v>
      </c>
      <c r="AV148" s="99">
        <v>10.1</v>
      </c>
      <c r="AW148" s="99" t="s">
        <v>530</v>
      </c>
      <c r="AX148" s="99" t="s">
        <v>1041</v>
      </c>
    </row>
    <row r="149" spans="1:50" ht="18" customHeight="1" x14ac:dyDescent="0.25">
      <c r="A149" s="349" t="s">
        <v>310</v>
      </c>
      <c r="B149" s="99" t="s">
        <v>311</v>
      </c>
      <c r="C149" s="99" t="s">
        <v>35</v>
      </c>
      <c r="D149" s="99" t="s">
        <v>35</v>
      </c>
      <c r="E149" s="350">
        <v>40422</v>
      </c>
      <c r="F149" s="99" t="s">
        <v>37</v>
      </c>
      <c r="G149" s="590" t="s">
        <v>40</v>
      </c>
      <c r="H149" s="99">
        <v>240</v>
      </c>
      <c r="I149" s="351">
        <v>0.375</v>
      </c>
      <c r="J149" s="351">
        <v>0.70833333333333337</v>
      </c>
      <c r="K149" s="99" t="s">
        <v>1429</v>
      </c>
      <c r="L149" s="99" t="s">
        <v>1481</v>
      </c>
      <c r="M149" s="99">
        <v>0</v>
      </c>
      <c r="N149" s="99" t="s">
        <v>1611</v>
      </c>
      <c r="O149" s="99" t="s">
        <v>1603</v>
      </c>
      <c r="P149" s="99" t="s">
        <v>37</v>
      </c>
      <c r="Q149" s="99" t="s">
        <v>1429</v>
      </c>
      <c r="R149" s="99" t="s">
        <v>1612</v>
      </c>
      <c r="S149" s="99" t="s">
        <v>1444</v>
      </c>
      <c r="T149" s="99"/>
      <c r="U149" s="99" t="s">
        <v>36</v>
      </c>
      <c r="V149" s="99" t="s">
        <v>31</v>
      </c>
      <c r="W149" s="99" t="s">
        <v>32</v>
      </c>
      <c r="X149" s="99" t="s">
        <v>37</v>
      </c>
      <c r="Y149" s="99">
        <v>2500</v>
      </c>
      <c r="Z149" s="99">
        <v>1</v>
      </c>
      <c r="AA149" s="99">
        <v>580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2243</v>
      </c>
      <c r="AH149" s="99">
        <v>20</v>
      </c>
      <c r="AI149" s="99">
        <v>24</v>
      </c>
      <c r="AJ149" s="99">
        <v>0</v>
      </c>
      <c r="AK149" s="99">
        <v>0</v>
      </c>
      <c r="AL149" s="99">
        <v>50</v>
      </c>
      <c r="AM149" s="99">
        <v>0</v>
      </c>
      <c r="AN149" s="99">
        <v>0</v>
      </c>
      <c r="AO149" s="99">
        <v>0</v>
      </c>
      <c r="AP149" s="99">
        <v>0</v>
      </c>
      <c r="AQ149" s="99"/>
      <c r="AR149" s="99">
        <v>1763</v>
      </c>
      <c r="AS149" s="99">
        <v>2823</v>
      </c>
      <c r="AT149" s="99">
        <v>-323</v>
      </c>
      <c r="AU149" s="99" t="s">
        <v>1345</v>
      </c>
      <c r="AV149" s="99">
        <v>50</v>
      </c>
      <c r="AW149" s="99" t="s">
        <v>530</v>
      </c>
      <c r="AX149" s="99" t="s">
        <v>1060</v>
      </c>
    </row>
    <row r="150" spans="1:50" ht="18" customHeight="1" x14ac:dyDescent="0.25">
      <c r="A150" s="349" t="s">
        <v>312</v>
      </c>
      <c r="B150" s="99" t="s">
        <v>313</v>
      </c>
      <c r="C150" s="99" t="s">
        <v>272</v>
      </c>
      <c r="D150" s="99" t="s">
        <v>30</v>
      </c>
      <c r="E150" s="350">
        <v>41122</v>
      </c>
      <c r="F150" s="99" t="s">
        <v>37</v>
      </c>
      <c r="G150" s="590" t="s">
        <v>272</v>
      </c>
      <c r="H150" s="99">
        <v>240</v>
      </c>
      <c r="I150" s="351">
        <v>0.375</v>
      </c>
      <c r="J150" s="351">
        <v>4.1666666666666664E-2</v>
      </c>
      <c r="K150" s="99" t="s">
        <v>1429</v>
      </c>
      <c r="L150" s="99" t="s">
        <v>1435</v>
      </c>
      <c r="M150" s="352">
        <v>43197</v>
      </c>
      <c r="N150" s="99" t="s">
        <v>1613</v>
      </c>
      <c r="O150" s="99" t="s">
        <v>1603</v>
      </c>
      <c r="P150" s="99" t="s">
        <v>37</v>
      </c>
      <c r="Q150" s="99" t="s">
        <v>1429</v>
      </c>
      <c r="R150" s="99" t="s">
        <v>1800</v>
      </c>
      <c r="S150" s="99" t="s">
        <v>1444</v>
      </c>
      <c r="T150" s="99"/>
      <c r="U150" s="99"/>
      <c r="V150" s="99" t="s">
        <v>46</v>
      </c>
      <c r="W150" s="99" t="s">
        <v>32</v>
      </c>
      <c r="X150" s="99" t="s">
        <v>37</v>
      </c>
      <c r="Y150" s="99">
        <v>2500</v>
      </c>
      <c r="Z150" s="99">
        <v>1</v>
      </c>
      <c r="AA150" s="99">
        <v>580</v>
      </c>
      <c r="AB150" s="99">
        <v>0</v>
      </c>
      <c r="AC150" s="99">
        <v>1480</v>
      </c>
      <c r="AD150" s="99">
        <v>0</v>
      </c>
      <c r="AE150" s="99">
        <v>0</v>
      </c>
      <c r="AF150" s="99">
        <v>0</v>
      </c>
      <c r="AG150" s="99">
        <v>2003</v>
      </c>
      <c r="AH150" s="99">
        <v>10</v>
      </c>
      <c r="AI150" s="99">
        <v>24</v>
      </c>
      <c r="AJ150" s="99">
        <v>0</v>
      </c>
      <c r="AK150" s="99">
        <v>0</v>
      </c>
      <c r="AL150" s="99">
        <v>5</v>
      </c>
      <c r="AM150" s="99">
        <v>0</v>
      </c>
      <c r="AN150" s="99">
        <v>0</v>
      </c>
      <c r="AO150" s="99">
        <v>0</v>
      </c>
      <c r="AP150" s="99">
        <v>0</v>
      </c>
      <c r="AQ150" s="99" t="s">
        <v>47</v>
      </c>
      <c r="AR150" s="99">
        <v>1763</v>
      </c>
      <c r="AS150" s="99">
        <v>4063</v>
      </c>
      <c r="AT150" s="99">
        <v>-1563</v>
      </c>
      <c r="AU150" s="99" t="s">
        <v>1345</v>
      </c>
      <c r="AV150" s="99">
        <v>50</v>
      </c>
      <c r="AW150" s="99" t="s">
        <v>530</v>
      </c>
      <c r="AX150" s="99" t="s">
        <v>1866</v>
      </c>
    </row>
    <row r="151" spans="1:50" ht="18" customHeight="1" x14ac:dyDescent="0.25">
      <c r="A151" s="349" t="s">
        <v>314</v>
      </c>
      <c r="B151" s="99" t="s">
        <v>315</v>
      </c>
      <c r="C151" s="99" t="s">
        <v>44</v>
      </c>
      <c r="D151" s="99" t="s">
        <v>45</v>
      </c>
      <c r="E151" s="350">
        <v>41624</v>
      </c>
      <c r="F151" s="99" t="s">
        <v>37</v>
      </c>
      <c r="G151" s="590" t="s">
        <v>44</v>
      </c>
      <c r="H151" s="99">
        <v>240</v>
      </c>
      <c r="I151" s="351">
        <v>0.375</v>
      </c>
      <c r="J151" s="351">
        <v>0.70833333333333337</v>
      </c>
      <c r="K151" s="99" t="s">
        <v>1429</v>
      </c>
      <c r="L151" s="99" t="s">
        <v>1435</v>
      </c>
      <c r="M151" s="99" t="s">
        <v>41</v>
      </c>
      <c r="N151" s="99" t="s">
        <v>1614</v>
      </c>
      <c r="O151" s="99" t="s">
        <v>1603</v>
      </c>
      <c r="P151" s="99" t="s">
        <v>37</v>
      </c>
      <c r="Q151" s="99" t="s">
        <v>1429</v>
      </c>
      <c r="R151" s="99" t="s">
        <v>1801</v>
      </c>
      <c r="S151" s="99" t="s">
        <v>1444</v>
      </c>
      <c r="T151" s="99"/>
      <c r="U151" s="99"/>
      <c r="V151" s="99" t="s">
        <v>46</v>
      </c>
      <c r="W151" s="99" t="s">
        <v>32</v>
      </c>
      <c r="X151" s="99" t="s">
        <v>37</v>
      </c>
      <c r="Y151" s="99">
        <v>4000</v>
      </c>
      <c r="Z151" s="99">
        <v>0</v>
      </c>
      <c r="AA151" s="99">
        <v>580</v>
      </c>
      <c r="AB151" s="99">
        <v>0</v>
      </c>
      <c r="AC151" s="99">
        <v>1480</v>
      </c>
      <c r="AD151" s="99">
        <v>0</v>
      </c>
      <c r="AE151" s="99">
        <v>0</v>
      </c>
      <c r="AF151" s="99">
        <v>0</v>
      </c>
      <c r="AG151" s="99">
        <v>2003</v>
      </c>
      <c r="AH151" s="99">
        <v>10</v>
      </c>
      <c r="AI151" s="99">
        <v>24</v>
      </c>
      <c r="AJ151" s="99">
        <v>0</v>
      </c>
      <c r="AK151" s="99">
        <v>0</v>
      </c>
      <c r="AL151" s="99">
        <v>10</v>
      </c>
      <c r="AM151" s="99">
        <v>0</v>
      </c>
      <c r="AN151" s="99">
        <v>0</v>
      </c>
      <c r="AO151" s="99">
        <v>0</v>
      </c>
      <c r="AP151" s="99">
        <v>0</v>
      </c>
      <c r="AQ151" s="99" t="s">
        <v>47</v>
      </c>
      <c r="AR151" s="99">
        <v>1763</v>
      </c>
      <c r="AS151" s="99">
        <v>3483</v>
      </c>
      <c r="AT151" s="99">
        <v>517</v>
      </c>
      <c r="AU151" s="99" t="s">
        <v>1345</v>
      </c>
      <c r="AV151" s="99">
        <v>80</v>
      </c>
      <c r="AW151" s="99" t="s">
        <v>528</v>
      </c>
      <c r="AX151" s="99" t="s">
        <v>1853</v>
      </c>
    </row>
    <row r="152" spans="1:50" ht="18" customHeight="1" x14ac:dyDescent="0.25">
      <c r="A152" s="349" t="s">
        <v>316</v>
      </c>
      <c r="B152" s="99" t="s">
        <v>317</v>
      </c>
      <c r="C152" s="99" t="s">
        <v>29</v>
      </c>
      <c r="D152" s="99" t="s">
        <v>45</v>
      </c>
      <c r="E152" s="350">
        <v>40299</v>
      </c>
      <c r="F152" s="99" t="s">
        <v>37</v>
      </c>
      <c r="G152" s="590" t="s">
        <v>29</v>
      </c>
      <c r="H152" s="99">
        <v>360</v>
      </c>
      <c r="I152" s="351">
        <v>0.375</v>
      </c>
      <c r="J152" s="351">
        <v>0.70833333333333337</v>
      </c>
      <c r="K152" s="99" t="s">
        <v>1429</v>
      </c>
      <c r="L152" s="99" t="s">
        <v>1435</v>
      </c>
      <c r="M152" s="352">
        <v>43284</v>
      </c>
      <c r="N152" s="99" t="s">
        <v>1615</v>
      </c>
      <c r="O152" s="99" t="s">
        <v>1603</v>
      </c>
      <c r="P152" s="99" t="s">
        <v>37</v>
      </c>
      <c r="Q152" s="99" t="s">
        <v>1429</v>
      </c>
      <c r="R152" s="99" t="s">
        <v>1616</v>
      </c>
      <c r="S152" s="99" t="s">
        <v>1453</v>
      </c>
      <c r="T152" s="99"/>
      <c r="U152" s="99"/>
      <c r="V152" s="99" t="s">
        <v>31</v>
      </c>
      <c r="W152" s="99" t="s">
        <v>32</v>
      </c>
      <c r="X152" s="99" t="s">
        <v>37</v>
      </c>
      <c r="Y152" s="99">
        <v>6000</v>
      </c>
      <c r="Z152" s="99">
        <v>5</v>
      </c>
      <c r="AA152" s="99">
        <v>580</v>
      </c>
      <c r="AB152" s="99">
        <v>0</v>
      </c>
      <c r="AC152" s="99">
        <v>0</v>
      </c>
      <c r="AD152" s="99">
        <v>0</v>
      </c>
      <c r="AE152" s="99">
        <v>0</v>
      </c>
      <c r="AF152" s="99">
        <v>0</v>
      </c>
      <c r="AG152" s="99">
        <v>2363</v>
      </c>
      <c r="AH152" s="99">
        <v>25</v>
      </c>
      <c r="AI152" s="99">
        <v>24</v>
      </c>
      <c r="AJ152" s="99">
        <v>0</v>
      </c>
      <c r="AK152" s="99">
        <v>0</v>
      </c>
      <c r="AL152" s="99">
        <v>0</v>
      </c>
      <c r="AM152" s="99">
        <v>0</v>
      </c>
      <c r="AN152" s="99">
        <v>0</v>
      </c>
      <c r="AO152" s="99">
        <v>0</v>
      </c>
      <c r="AP152" s="99">
        <v>0</v>
      </c>
      <c r="AQ152" s="99"/>
      <c r="AR152" s="99">
        <v>1763</v>
      </c>
      <c r="AS152" s="99">
        <v>5263</v>
      </c>
      <c r="AT152" s="99">
        <v>737</v>
      </c>
      <c r="AU152" s="99" t="s">
        <v>1345</v>
      </c>
      <c r="AV152" s="99">
        <v>120</v>
      </c>
      <c r="AW152" s="99" t="s">
        <v>527</v>
      </c>
      <c r="AX152" s="99" t="s">
        <v>1044</v>
      </c>
    </row>
    <row r="153" spans="1:50" ht="18" customHeight="1" x14ac:dyDescent="0.25">
      <c r="A153" s="349" t="s">
        <v>318</v>
      </c>
      <c r="B153" s="99" t="s">
        <v>319</v>
      </c>
      <c r="C153" s="99" t="s">
        <v>44</v>
      </c>
      <c r="D153" s="99" t="s">
        <v>35</v>
      </c>
      <c r="E153" s="350">
        <v>41548</v>
      </c>
      <c r="F153" s="99" t="s">
        <v>1429</v>
      </c>
      <c r="G153" s="590"/>
      <c r="H153" s="99"/>
      <c r="I153" s="99"/>
      <c r="J153" s="99"/>
      <c r="K153" s="99" t="s">
        <v>1429</v>
      </c>
      <c r="L153" s="99"/>
      <c r="M153" s="99"/>
      <c r="N153" s="99"/>
      <c r="O153" s="99"/>
      <c r="P153" s="99" t="s">
        <v>37</v>
      </c>
      <c r="Q153" s="99" t="s">
        <v>1429</v>
      </c>
      <c r="R153" s="99"/>
      <c r="S153" s="99"/>
      <c r="T153" s="99"/>
      <c r="U153" s="99"/>
      <c r="V153" s="99" t="s">
        <v>46</v>
      </c>
      <c r="W153" s="99" t="s">
        <v>32</v>
      </c>
      <c r="X153" s="99" t="s">
        <v>37</v>
      </c>
      <c r="Y153" s="99">
        <v>200</v>
      </c>
      <c r="Z153" s="99"/>
      <c r="AA153" s="99">
        <v>580</v>
      </c>
      <c r="AB153" s="99">
        <v>0</v>
      </c>
      <c r="AC153" s="99">
        <v>800</v>
      </c>
      <c r="AD153" s="99">
        <v>0</v>
      </c>
      <c r="AE153" s="99">
        <v>0</v>
      </c>
      <c r="AF153" s="99">
        <v>0</v>
      </c>
      <c r="AG153" s="99">
        <v>1040</v>
      </c>
      <c r="AH153" s="99">
        <v>10</v>
      </c>
      <c r="AI153" s="99">
        <v>24</v>
      </c>
      <c r="AJ153" s="99">
        <v>0</v>
      </c>
      <c r="AK153" s="99">
        <v>0</v>
      </c>
      <c r="AL153" s="99">
        <v>0</v>
      </c>
      <c r="AM153" s="99">
        <v>0</v>
      </c>
      <c r="AN153" s="99">
        <v>0</v>
      </c>
      <c r="AO153" s="99">
        <v>0</v>
      </c>
      <c r="AP153" s="99">
        <v>0</v>
      </c>
      <c r="AQ153" s="99" t="s">
        <v>47</v>
      </c>
      <c r="AR153" s="99">
        <v>800</v>
      </c>
      <c r="AS153" s="99">
        <v>1840</v>
      </c>
      <c r="AT153" s="99">
        <v>-1640</v>
      </c>
      <c r="AU153" s="99" t="s">
        <v>1345</v>
      </c>
      <c r="AV153" s="99">
        <v>4</v>
      </c>
      <c r="AW153" s="99" t="s">
        <v>673</v>
      </c>
      <c r="AX153" s="99"/>
    </row>
    <row r="154" spans="1:50" ht="18" customHeight="1" x14ac:dyDescent="0.25">
      <c r="A154" s="349" t="s">
        <v>320</v>
      </c>
      <c r="B154" s="99" t="s">
        <v>321</v>
      </c>
      <c r="C154" s="99" t="s">
        <v>35</v>
      </c>
      <c r="D154" s="99" t="s">
        <v>35</v>
      </c>
      <c r="E154" s="350">
        <v>41661</v>
      </c>
      <c r="F154" s="99" t="s">
        <v>37</v>
      </c>
      <c r="G154" s="590" t="s">
        <v>547</v>
      </c>
      <c r="H154" s="99">
        <v>240</v>
      </c>
      <c r="I154" s="351">
        <v>0.375</v>
      </c>
      <c r="J154" s="351">
        <v>0.70833333333333337</v>
      </c>
      <c r="K154" s="99" t="s">
        <v>1429</v>
      </c>
      <c r="L154" s="99" t="s">
        <v>1435</v>
      </c>
      <c r="M154" s="99">
        <v>23</v>
      </c>
      <c r="N154" s="99" t="s">
        <v>1617</v>
      </c>
      <c r="O154" s="99" t="s">
        <v>1603</v>
      </c>
      <c r="P154" s="99" t="s">
        <v>37</v>
      </c>
      <c r="Q154" s="99" t="s">
        <v>1429</v>
      </c>
      <c r="R154" s="99" t="s">
        <v>1802</v>
      </c>
      <c r="S154" s="99" t="s">
        <v>1444</v>
      </c>
      <c r="T154" s="99"/>
      <c r="U154" s="99"/>
      <c r="V154" s="99" t="s">
        <v>46</v>
      </c>
      <c r="W154" s="99" t="s">
        <v>32</v>
      </c>
      <c r="X154" s="99" t="s">
        <v>37</v>
      </c>
      <c r="Y154" s="99">
        <v>5000</v>
      </c>
      <c r="Z154" s="99">
        <v>0</v>
      </c>
      <c r="AA154" s="99">
        <v>580</v>
      </c>
      <c r="AB154" s="99">
        <v>0</v>
      </c>
      <c r="AC154" s="99">
        <v>1480</v>
      </c>
      <c r="AD154" s="99">
        <v>0</v>
      </c>
      <c r="AE154" s="99">
        <v>0</v>
      </c>
      <c r="AF154" s="99">
        <v>0</v>
      </c>
      <c r="AG154" s="99">
        <v>2003</v>
      </c>
      <c r="AH154" s="99">
        <v>10</v>
      </c>
      <c r="AI154" s="99">
        <v>24</v>
      </c>
      <c r="AJ154" s="99">
        <v>0</v>
      </c>
      <c r="AK154" s="99">
        <v>0</v>
      </c>
      <c r="AL154" s="99">
        <v>0</v>
      </c>
      <c r="AM154" s="99">
        <v>0</v>
      </c>
      <c r="AN154" s="99">
        <v>0</v>
      </c>
      <c r="AO154" s="99">
        <v>0</v>
      </c>
      <c r="AP154" s="99">
        <v>0</v>
      </c>
      <c r="AQ154" s="99" t="s">
        <v>47</v>
      </c>
      <c r="AR154" s="99">
        <v>1763</v>
      </c>
      <c r="AS154" s="99">
        <v>3483</v>
      </c>
      <c r="AT154" s="99">
        <v>1517</v>
      </c>
      <c r="AU154" s="99" t="s">
        <v>1345</v>
      </c>
      <c r="AV154" s="99">
        <v>100</v>
      </c>
      <c r="AW154" s="99" t="s">
        <v>527</v>
      </c>
      <c r="AX154" s="99" t="s">
        <v>1858</v>
      </c>
    </row>
    <row r="155" spans="1:50" ht="18" customHeight="1" x14ac:dyDescent="0.25">
      <c r="A155" s="349" t="s">
        <v>322</v>
      </c>
      <c r="B155" s="99" t="s">
        <v>323</v>
      </c>
      <c r="C155" s="99" t="s">
        <v>35</v>
      </c>
      <c r="D155" s="99" t="s">
        <v>35</v>
      </c>
      <c r="E155" s="350">
        <v>40891</v>
      </c>
      <c r="F155" s="99" t="s">
        <v>37</v>
      </c>
      <c r="G155" s="590" t="s">
        <v>547</v>
      </c>
      <c r="H155" s="99">
        <v>120</v>
      </c>
      <c r="I155" s="351">
        <v>0.375</v>
      </c>
      <c r="J155" s="351">
        <v>0.70833333333333337</v>
      </c>
      <c r="K155" s="99" t="s">
        <v>1429</v>
      </c>
      <c r="L155" s="99" t="s">
        <v>1435</v>
      </c>
      <c r="M155" s="352">
        <v>43116</v>
      </c>
      <c r="N155" s="99" t="s">
        <v>1602</v>
      </c>
      <c r="O155" s="99" t="s">
        <v>1603</v>
      </c>
      <c r="P155" s="99" t="s">
        <v>37</v>
      </c>
      <c r="Q155" s="99" t="s">
        <v>1429</v>
      </c>
      <c r="R155" s="99" t="s">
        <v>1803</v>
      </c>
      <c r="S155" s="99" t="s">
        <v>1444</v>
      </c>
      <c r="T155" s="99"/>
      <c r="U155" s="99"/>
      <c r="V155" s="99" t="s">
        <v>46</v>
      </c>
      <c r="W155" s="99" t="s">
        <v>32</v>
      </c>
      <c r="X155" s="99" t="s">
        <v>37</v>
      </c>
      <c r="Y155" s="99">
        <v>5237</v>
      </c>
      <c r="Z155" s="99">
        <v>1</v>
      </c>
      <c r="AA155" s="99">
        <v>580</v>
      </c>
      <c r="AB155" s="99">
        <v>0</v>
      </c>
      <c r="AC155" s="99">
        <v>1480</v>
      </c>
      <c r="AD155" s="99">
        <v>0</v>
      </c>
      <c r="AE155" s="99">
        <v>0</v>
      </c>
      <c r="AF155" s="99">
        <v>0</v>
      </c>
      <c r="AG155" s="99">
        <v>2003</v>
      </c>
      <c r="AH155" s="99">
        <v>10</v>
      </c>
      <c r="AI155" s="99">
        <v>24</v>
      </c>
      <c r="AJ155" s="99">
        <v>0</v>
      </c>
      <c r="AK155" s="99">
        <v>0</v>
      </c>
      <c r="AL155" s="99">
        <v>10</v>
      </c>
      <c r="AM155" s="99">
        <v>0</v>
      </c>
      <c r="AN155" s="99">
        <v>0</v>
      </c>
      <c r="AO155" s="99">
        <v>0</v>
      </c>
      <c r="AP155" s="99">
        <v>0</v>
      </c>
      <c r="AQ155" s="99" t="s">
        <v>47</v>
      </c>
      <c r="AR155" s="99">
        <v>1763</v>
      </c>
      <c r="AS155" s="99">
        <v>4063</v>
      </c>
      <c r="AT155" s="99">
        <v>1174</v>
      </c>
      <c r="AU155" s="99" t="s">
        <v>1345</v>
      </c>
      <c r="AV155" s="99">
        <v>104.74</v>
      </c>
      <c r="AW155" s="99" t="s">
        <v>527</v>
      </c>
      <c r="AX155" s="99" t="s">
        <v>1795</v>
      </c>
    </row>
    <row r="156" spans="1:50" ht="18" customHeight="1" x14ac:dyDescent="0.25">
      <c r="A156" s="349" t="s">
        <v>643</v>
      </c>
      <c r="B156" s="99" t="s">
        <v>644</v>
      </c>
      <c r="C156" s="99" t="s">
        <v>35</v>
      </c>
      <c r="D156" s="99" t="s">
        <v>35</v>
      </c>
      <c r="E156" s="350">
        <v>42473</v>
      </c>
      <c r="F156" s="99" t="s">
        <v>37</v>
      </c>
      <c r="G156" s="590" t="s">
        <v>544</v>
      </c>
      <c r="H156" s="99">
        <v>240</v>
      </c>
      <c r="I156" s="351">
        <v>0.375</v>
      </c>
      <c r="J156" s="351">
        <v>0.70833333333333337</v>
      </c>
      <c r="K156" s="99" t="s">
        <v>1429</v>
      </c>
      <c r="L156" s="99" t="s">
        <v>1435</v>
      </c>
      <c r="M156" s="99">
        <v>19</v>
      </c>
      <c r="N156" s="99" t="s">
        <v>1618</v>
      </c>
      <c r="O156" s="99" t="s">
        <v>1603</v>
      </c>
      <c r="P156" s="99" t="s">
        <v>37</v>
      </c>
      <c r="Q156" s="99" t="s">
        <v>1429</v>
      </c>
      <c r="R156" s="99" t="s">
        <v>1804</v>
      </c>
      <c r="S156" s="99" t="s">
        <v>1444</v>
      </c>
      <c r="T156" s="99"/>
      <c r="U156" s="99"/>
      <c r="V156" s="99" t="s">
        <v>46</v>
      </c>
      <c r="W156" s="99" t="s">
        <v>32</v>
      </c>
      <c r="X156" s="99" t="s">
        <v>37</v>
      </c>
      <c r="Y156" s="99">
        <v>5000</v>
      </c>
      <c r="Z156" s="99">
        <v>1</v>
      </c>
      <c r="AA156" s="99">
        <v>580</v>
      </c>
      <c r="AB156" s="99">
        <v>0</v>
      </c>
      <c r="AC156" s="99">
        <v>1480</v>
      </c>
      <c r="AD156" s="99">
        <v>1</v>
      </c>
      <c r="AE156" s="99">
        <v>0</v>
      </c>
      <c r="AF156" s="99">
        <v>0</v>
      </c>
      <c r="AG156" s="99">
        <v>2363</v>
      </c>
      <c r="AH156" s="99">
        <v>25</v>
      </c>
      <c r="AI156" s="99">
        <v>24</v>
      </c>
      <c r="AJ156" s="99">
        <v>0</v>
      </c>
      <c r="AK156" s="99">
        <v>0</v>
      </c>
      <c r="AL156" s="99">
        <v>0</v>
      </c>
      <c r="AM156" s="99">
        <v>0</v>
      </c>
      <c r="AN156" s="99">
        <v>0</v>
      </c>
      <c r="AO156" s="99">
        <v>0</v>
      </c>
      <c r="AP156" s="99">
        <v>0</v>
      </c>
      <c r="AQ156" s="99" t="s">
        <v>576</v>
      </c>
      <c r="AR156" s="99">
        <v>1763</v>
      </c>
      <c r="AS156" s="99">
        <v>5003</v>
      </c>
      <c r="AT156" s="99">
        <v>-3</v>
      </c>
      <c r="AU156" s="99" t="s">
        <v>1345</v>
      </c>
      <c r="AV156" s="99">
        <v>100</v>
      </c>
      <c r="AW156" s="99" t="s">
        <v>530</v>
      </c>
      <c r="AX156" s="99" t="s">
        <v>1857</v>
      </c>
    </row>
    <row r="157" spans="1:50" ht="18" customHeight="1" x14ac:dyDescent="0.25">
      <c r="A157" s="349" t="s">
        <v>1894</v>
      </c>
      <c r="B157" s="99" t="s">
        <v>1895</v>
      </c>
      <c r="C157" s="99" t="s">
        <v>38</v>
      </c>
      <c r="D157" s="99" t="s">
        <v>38</v>
      </c>
      <c r="E157" s="350">
        <v>43003</v>
      </c>
      <c r="F157" s="99" t="s">
        <v>37</v>
      </c>
      <c r="G157" s="590" t="s">
        <v>547</v>
      </c>
      <c r="H157" s="99">
        <v>240</v>
      </c>
      <c r="I157" s="351">
        <v>0.375</v>
      </c>
      <c r="J157" s="351">
        <v>0.70833333333333337</v>
      </c>
      <c r="K157" s="99" t="s">
        <v>1429</v>
      </c>
      <c r="L157" s="99" t="s">
        <v>1435</v>
      </c>
      <c r="M157" s="99">
        <v>0</v>
      </c>
      <c r="N157" s="99" t="s">
        <v>1896</v>
      </c>
      <c r="O157" s="99" t="s">
        <v>1603</v>
      </c>
      <c r="P157" s="99" t="s">
        <v>37</v>
      </c>
      <c r="Q157" s="99" t="s">
        <v>1429</v>
      </c>
      <c r="R157" s="99" t="s">
        <v>1897</v>
      </c>
      <c r="S157" s="99" t="s">
        <v>1444</v>
      </c>
      <c r="T157" s="99"/>
      <c r="U157" s="99"/>
      <c r="V157" s="99" t="s">
        <v>46</v>
      </c>
      <c r="W157" s="99" t="s">
        <v>32</v>
      </c>
      <c r="X157" s="99" t="s">
        <v>1429</v>
      </c>
      <c r="Y157" s="99">
        <v>3500</v>
      </c>
      <c r="Z157" s="99">
        <v>0</v>
      </c>
      <c r="AA157" s="99">
        <v>580</v>
      </c>
      <c r="AB157" s="99">
        <v>0</v>
      </c>
      <c r="AC157" s="99">
        <v>1480</v>
      </c>
      <c r="AD157" s="99">
        <v>0</v>
      </c>
      <c r="AE157" s="99">
        <v>0</v>
      </c>
      <c r="AF157" s="99">
        <v>0</v>
      </c>
      <c r="AG157" s="99">
        <v>2003</v>
      </c>
      <c r="AH157" s="99">
        <v>10</v>
      </c>
      <c r="AI157" s="99">
        <v>24</v>
      </c>
      <c r="AJ157" s="99">
        <v>0</v>
      </c>
      <c r="AK157" s="99">
        <v>0</v>
      </c>
      <c r="AL157" s="99">
        <v>0</v>
      </c>
      <c r="AM157" s="99">
        <v>0</v>
      </c>
      <c r="AN157" s="99">
        <v>0</v>
      </c>
      <c r="AO157" s="99">
        <v>0</v>
      </c>
      <c r="AP157" s="99">
        <v>0</v>
      </c>
      <c r="AQ157" s="99" t="s">
        <v>47</v>
      </c>
      <c r="AR157" s="99">
        <v>1763</v>
      </c>
      <c r="AS157" s="99">
        <v>3483</v>
      </c>
      <c r="AT157" s="99">
        <v>17</v>
      </c>
      <c r="AU157" s="99" t="s">
        <v>1345</v>
      </c>
      <c r="AV157" s="99">
        <v>70</v>
      </c>
      <c r="AW157" s="99" t="s">
        <v>528</v>
      </c>
      <c r="AX157" s="99" t="s">
        <v>1857</v>
      </c>
    </row>
    <row r="158" spans="1:50" ht="18" customHeight="1" x14ac:dyDescent="0.25">
      <c r="A158" s="349" t="s">
        <v>324</v>
      </c>
      <c r="B158" s="99" t="s">
        <v>325</v>
      </c>
      <c r="C158" s="99" t="s">
        <v>30</v>
      </c>
      <c r="D158" s="99" t="s">
        <v>30</v>
      </c>
      <c r="E158" s="350">
        <v>41699</v>
      </c>
      <c r="F158" s="99" t="s">
        <v>1429</v>
      </c>
      <c r="G158" s="590" t="s">
        <v>52</v>
      </c>
      <c r="H158" s="99">
        <v>0</v>
      </c>
      <c r="I158" s="99"/>
      <c r="J158" s="99"/>
      <c r="K158" s="99" t="s">
        <v>1429</v>
      </c>
      <c r="L158" s="99">
        <v>0</v>
      </c>
      <c r="M158" s="99">
        <v>14</v>
      </c>
      <c r="N158" s="99"/>
      <c r="O158" s="99" t="s">
        <v>1603</v>
      </c>
      <c r="P158" s="99" t="s">
        <v>37</v>
      </c>
      <c r="Q158" s="99" t="s">
        <v>1429</v>
      </c>
      <c r="R158" s="99" t="s">
        <v>1805</v>
      </c>
      <c r="S158" s="99"/>
      <c r="T158" s="99"/>
      <c r="U158" s="99"/>
      <c r="V158" s="99" t="s">
        <v>71</v>
      </c>
      <c r="W158" s="99" t="s">
        <v>32</v>
      </c>
      <c r="X158" s="99" t="s">
        <v>37</v>
      </c>
      <c r="Y158" s="99">
        <v>1300</v>
      </c>
      <c r="Z158" s="99">
        <v>0</v>
      </c>
      <c r="AA158" s="99">
        <v>580</v>
      </c>
      <c r="AB158" s="99">
        <v>0</v>
      </c>
      <c r="AC158" s="99">
        <v>0</v>
      </c>
      <c r="AD158" s="99">
        <v>0</v>
      </c>
      <c r="AE158" s="99">
        <v>0</v>
      </c>
      <c r="AF158" s="99">
        <v>0</v>
      </c>
      <c r="AG158" s="99">
        <v>24</v>
      </c>
      <c r="AH158" s="99">
        <v>1</v>
      </c>
      <c r="AI158" s="99">
        <v>24</v>
      </c>
      <c r="AJ158" s="99">
        <v>0</v>
      </c>
      <c r="AK158" s="99">
        <v>0</v>
      </c>
      <c r="AL158" s="99">
        <v>0</v>
      </c>
      <c r="AM158" s="99">
        <v>0</v>
      </c>
      <c r="AN158" s="99">
        <v>0</v>
      </c>
      <c r="AO158" s="99">
        <v>0</v>
      </c>
      <c r="AP158" s="99">
        <v>0</v>
      </c>
      <c r="AQ158" s="99"/>
      <c r="AR158" s="99">
        <v>0</v>
      </c>
      <c r="AS158" s="99">
        <v>24</v>
      </c>
      <c r="AT158" s="99">
        <v>1276</v>
      </c>
      <c r="AU158" s="99" t="s">
        <v>1345</v>
      </c>
      <c r="AV158" s="99">
        <v>26</v>
      </c>
      <c r="AW158" s="99" t="s">
        <v>527</v>
      </c>
      <c r="AX158" s="99" t="s">
        <v>1042</v>
      </c>
    </row>
    <row r="159" spans="1:50" ht="18" customHeight="1" x14ac:dyDescent="0.25">
      <c r="A159" s="349" t="s">
        <v>326</v>
      </c>
      <c r="B159" s="99" t="s">
        <v>327</v>
      </c>
      <c r="C159" s="99" t="s">
        <v>30</v>
      </c>
      <c r="D159" s="99" t="s">
        <v>30</v>
      </c>
      <c r="E159" s="350">
        <v>39692</v>
      </c>
      <c r="F159" s="99" t="s">
        <v>1429</v>
      </c>
      <c r="G159" s="590" t="s">
        <v>40</v>
      </c>
      <c r="H159" s="99">
        <v>240</v>
      </c>
      <c r="I159" s="351">
        <v>0.375</v>
      </c>
      <c r="J159" s="351">
        <v>0.70833333333333337</v>
      </c>
      <c r="K159" s="99" t="s">
        <v>1429</v>
      </c>
      <c r="L159" s="99" t="s">
        <v>1481</v>
      </c>
      <c r="M159" s="352">
        <v>43129</v>
      </c>
      <c r="N159" s="99"/>
      <c r="O159" s="99" t="s">
        <v>1603</v>
      </c>
      <c r="P159" s="99" t="s">
        <v>1429</v>
      </c>
      <c r="Q159" s="99" t="s">
        <v>1429</v>
      </c>
      <c r="R159" s="99"/>
      <c r="S159" s="99" t="s">
        <v>1453</v>
      </c>
      <c r="T159" s="99"/>
      <c r="U159" s="99"/>
      <c r="V159" s="99" t="s">
        <v>31</v>
      </c>
      <c r="W159" s="99" t="s">
        <v>32</v>
      </c>
      <c r="X159" s="99" t="s">
        <v>37</v>
      </c>
      <c r="Y159" s="99">
        <v>16500</v>
      </c>
      <c r="Z159" s="99">
        <v>5</v>
      </c>
      <c r="AA159" s="99">
        <v>580</v>
      </c>
      <c r="AB159" s="99">
        <v>0</v>
      </c>
      <c r="AC159" s="99">
        <v>0</v>
      </c>
      <c r="AD159" s="99">
        <v>0</v>
      </c>
      <c r="AE159" s="99">
        <v>0</v>
      </c>
      <c r="AF159" s="99">
        <v>0</v>
      </c>
      <c r="AG159" s="99">
        <v>2363</v>
      </c>
      <c r="AH159" s="99">
        <v>25</v>
      </c>
      <c r="AI159" s="99">
        <v>24</v>
      </c>
      <c r="AJ159" s="99">
        <v>0</v>
      </c>
      <c r="AK159" s="99">
        <v>0</v>
      </c>
      <c r="AL159" s="99">
        <v>10</v>
      </c>
      <c r="AM159" s="99">
        <v>0</v>
      </c>
      <c r="AN159" s="99">
        <v>0</v>
      </c>
      <c r="AO159" s="99">
        <v>0</v>
      </c>
      <c r="AP159" s="99">
        <v>0</v>
      </c>
      <c r="AQ159" s="99"/>
      <c r="AR159" s="99">
        <v>1763</v>
      </c>
      <c r="AS159" s="99">
        <v>5263</v>
      </c>
      <c r="AT159" s="99">
        <v>11237</v>
      </c>
      <c r="AU159" s="99" t="s">
        <v>1345</v>
      </c>
      <c r="AV159" s="99">
        <v>330</v>
      </c>
      <c r="AW159" s="99" t="s">
        <v>527</v>
      </c>
      <c r="AX159" s="99" t="s">
        <v>1042</v>
      </c>
    </row>
    <row r="160" spans="1:50" ht="18" customHeight="1" x14ac:dyDescent="0.25">
      <c r="A160" s="349" t="s">
        <v>328</v>
      </c>
      <c r="B160" s="99" t="s">
        <v>329</v>
      </c>
      <c r="C160" s="99" t="s">
        <v>35</v>
      </c>
      <c r="D160" s="99" t="s">
        <v>35</v>
      </c>
      <c r="E160" s="350">
        <v>41395</v>
      </c>
      <c r="F160" s="99" t="s">
        <v>1429</v>
      </c>
      <c r="G160" s="590" t="s">
        <v>44</v>
      </c>
      <c r="H160" s="99">
        <v>0</v>
      </c>
      <c r="I160" s="99"/>
      <c r="J160" s="99"/>
      <c r="K160" s="99" t="s">
        <v>1429</v>
      </c>
      <c r="L160" s="99" t="s">
        <v>1435</v>
      </c>
      <c r="M160" s="352">
        <v>43139</v>
      </c>
      <c r="N160" s="99"/>
      <c r="O160" s="99" t="s">
        <v>1603</v>
      </c>
      <c r="P160" s="99" t="s">
        <v>1429</v>
      </c>
      <c r="Q160" s="99" t="s">
        <v>1429</v>
      </c>
      <c r="R160" s="99" t="s">
        <v>1806</v>
      </c>
      <c r="S160" s="99"/>
      <c r="T160" s="99"/>
      <c r="U160" s="99"/>
      <c r="V160" s="99" t="s">
        <v>46</v>
      </c>
      <c r="W160" s="99" t="s">
        <v>32</v>
      </c>
      <c r="X160" s="99" t="s">
        <v>37</v>
      </c>
      <c r="Y160" s="99">
        <v>1987</v>
      </c>
      <c r="Z160" s="99">
        <v>0</v>
      </c>
      <c r="AA160" s="99">
        <v>580</v>
      </c>
      <c r="AB160" s="99">
        <v>0</v>
      </c>
      <c r="AC160" s="99">
        <v>1480</v>
      </c>
      <c r="AD160" s="99">
        <v>0</v>
      </c>
      <c r="AE160" s="99">
        <v>0</v>
      </c>
      <c r="AF160" s="99">
        <v>0</v>
      </c>
      <c r="AG160" s="99">
        <v>2003</v>
      </c>
      <c r="AH160" s="99">
        <v>10</v>
      </c>
      <c r="AI160" s="99">
        <v>24</v>
      </c>
      <c r="AJ160" s="99">
        <v>0</v>
      </c>
      <c r="AK160" s="99">
        <v>0</v>
      </c>
      <c r="AL160" s="99">
        <v>0</v>
      </c>
      <c r="AM160" s="99">
        <v>0</v>
      </c>
      <c r="AN160" s="99">
        <v>0</v>
      </c>
      <c r="AO160" s="99">
        <v>0</v>
      </c>
      <c r="AP160" s="99">
        <v>0</v>
      </c>
      <c r="AQ160" s="99"/>
      <c r="AR160" s="99">
        <v>1763</v>
      </c>
      <c r="AS160" s="99">
        <v>3483</v>
      </c>
      <c r="AT160" s="99">
        <v>-1496</v>
      </c>
      <c r="AU160" s="99" t="s">
        <v>1345</v>
      </c>
      <c r="AV160" s="99">
        <v>39.74</v>
      </c>
      <c r="AW160" s="99" t="s">
        <v>530</v>
      </c>
      <c r="AX160" s="99" t="s">
        <v>1838</v>
      </c>
    </row>
    <row r="161" spans="1:50" ht="18" customHeight="1" x14ac:dyDescent="0.25">
      <c r="A161" s="349" t="s">
        <v>330</v>
      </c>
      <c r="B161" s="99" t="s">
        <v>331</v>
      </c>
      <c r="C161" s="99" t="s">
        <v>44</v>
      </c>
      <c r="D161" s="99" t="s">
        <v>35</v>
      </c>
      <c r="E161" s="350">
        <v>41548</v>
      </c>
      <c r="F161" s="99" t="s">
        <v>1429</v>
      </c>
      <c r="G161" s="590"/>
      <c r="H161" s="99"/>
      <c r="I161" s="99"/>
      <c r="J161" s="99"/>
      <c r="K161" s="99" t="s">
        <v>1429</v>
      </c>
      <c r="L161" s="99"/>
      <c r="M161" s="99"/>
      <c r="N161" s="99"/>
      <c r="O161" s="99"/>
      <c r="P161" s="99" t="s">
        <v>37</v>
      </c>
      <c r="Q161" s="99" t="s">
        <v>1429</v>
      </c>
      <c r="R161" s="99"/>
      <c r="S161" s="99"/>
      <c r="T161" s="99"/>
      <c r="U161" s="99"/>
      <c r="V161" s="99" t="s">
        <v>46</v>
      </c>
      <c r="W161" s="99" t="s">
        <v>32</v>
      </c>
      <c r="X161" s="99" t="s">
        <v>37</v>
      </c>
      <c r="Y161" s="99">
        <v>200</v>
      </c>
      <c r="Z161" s="99"/>
      <c r="AA161" s="99">
        <v>580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240</v>
      </c>
      <c r="AH161" s="99">
        <v>10</v>
      </c>
      <c r="AI161" s="99">
        <v>24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/>
      <c r="AR161" s="99">
        <v>0</v>
      </c>
      <c r="AS161" s="99">
        <v>240</v>
      </c>
      <c r="AT161" s="99">
        <v>-40</v>
      </c>
      <c r="AU161" s="99" t="s">
        <v>1345</v>
      </c>
      <c r="AV161" s="99">
        <v>4</v>
      </c>
      <c r="AW161" s="99" t="s">
        <v>673</v>
      </c>
      <c r="AX161" s="99"/>
    </row>
    <row r="162" spans="1:50" ht="18" customHeight="1" x14ac:dyDescent="0.25">
      <c r="A162" s="349" t="s">
        <v>332</v>
      </c>
      <c r="B162" s="99" t="s">
        <v>333</v>
      </c>
      <c r="C162" s="99" t="s">
        <v>44</v>
      </c>
      <c r="D162" s="99" t="s">
        <v>35</v>
      </c>
      <c r="E162" s="350">
        <v>41548</v>
      </c>
      <c r="F162" s="99" t="s">
        <v>1429</v>
      </c>
      <c r="G162" s="590"/>
      <c r="H162" s="99"/>
      <c r="I162" s="99"/>
      <c r="J162" s="99"/>
      <c r="K162" s="99" t="s">
        <v>1429</v>
      </c>
      <c r="L162" s="99"/>
      <c r="M162" s="99"/>
      <c r="N162" s="99"/>
      <c r="O162" s="99"/>
      <c r="P162" s="99" t="s">
        <v>37</v>
      </c>
      <c r="Q162" s="99" t="s">
        <v>1429</v>
      </c>
      <c r="R162" s="99"/>
      <c r="S162" s="99"/>
      <c r="T162" s="99"/>
      <c r="U162" s="99"/>
      <c r="V162" s="99" t="s">
        <v>46</v>
      </c>
      <c r="W162" s="99" t="s">
        <v>32</v>
      </c>
      <c r="X162" s="99" t="s">
        <v>37</v>
      </c>
      <c r="Y162" s="99">
        <v>200</v>
      </c>
      <c r="Z162" s="99"/>
      <c r="AA162" s="99">
        <v>580</v>
      </c>
      <c r="AB162" s="99">
        <v>0</v>
      </c>
      <c r="AC162" s="99">
        <v>800</v>
      </c>
      <c r="AD162" s="99">
        <v>0</v>
      </c>
      <c r="AE162" s="99">
        <v>0</v>
      </c>
      <c r="AF162" s="99">
        <v>0</v>
      </c>
      <c r="AG162" s="99">
        <v>1040</v>
      </c>
      <c r="AH162" s="99">
        <v>10</v>
      </c>
      <c r="AI162" s="99">
        <v>24</v>
      </c>
      <c r="AJ162" s="99">
        <v>0</v>
      </c>
      <c r="AK162" s="99">
        <v>0</v>
      </c>
      <c r="AL162" s="99">
        <v>0</v>
      </c>
      <c r="AM162" s="99">
        <v>0</v>
      </c>
      <c r="AN162" s="99">
        <v>0</v>
      </c>
      <c r="AO162" s="99">
        <v>0</v>
      </c>
      <c r="AP162" s="99">
        <v>0</v>
      </c>
      <c r="AQ162" s="99" t="s">
        <v>47</v>
      </c>
      <c r="AR162" s="99">
        <v>800</v>
      </c>
      <c r="AS162" s="99">
        <v>1840</v>
      </c>
      <c r="AT162" s="99">
        <v>-1640</v>
      </c>
      <c r="AU162" s="99" t="s">
        <v>1345</v>
      </c>
      <c r="AV162" s="99">
        <v>4</v>
      </c>
      <c r="AW162" s="99" t="s">
        <v>673</v>
      </c>
      <c r="AX162" s="99"/>
    </row>
    <row r="163" spans="1:50" ht="18" customHeight="1" x14ac:dyDescent="0.25">
      <c r="A163" s="349" t="s">
        <v>334</v>
      </c>
      <c r="B163" s="99" t="s">
        <v>335</v>
      </c>
      <c r="C163" s="99" t="s">
        <v>44</v>
      </c>
      <c r="D163" s="99" t="s">
        <v>35</v>
      </c>
      <c r="E163" s="350">
        <v>41548</v>
      </c>
      <c r="F163" s="99" t="s">
        <v>1429</v>
      </c>
      <c r="G163" s="590"/>
      <c r="H163" s="99"/>
      <c r="I163" s="99"/>
      <c r="J163" s="99"/>
      <c r="K163" s="99" t="s">
        <v>1429</v>
      </c>
      <c r="L163" s="99"/>
      <c r="M163" s="99"/>
      <c r="N163" s="99"/>
      <c r="O163" s="99"/>
      <c r="P163" s="99" t="s">
        <v>37</v>
      </c>
      <c r="Q163" s="99" t="s">
        <v>1429</v>
      </c>
      <c r="R163" s="99"/>
      <c r="S163" s="99"/>
      <c r="T163" s="99"/>
      <c r="U163" s="99"/>
      <c r="V163" s="99" t="s">
        <v>46</v>
      </c>
      <c r="W163" s="99" t="s">
        <v>32</v>
      </c>
      <c r="X163" s="99" t="s">
        <v>37</v>
      </c>
      <c r="Y163" s="99">
        <v>200</v>
      </c>
      <c r="Z163" s="99"/>
      <c r="AA163" s="99">
        <v>580</v>
      </c>
      <c r="AB163" s="99">
        <v>0</v>
      </c>
      <c r="AC163" s="99">
        <v>0</v>
      </c>
      <c r="AD163" s="99">
        <v>0</v>
      </c>
      <c r="AE163" s="99">
        <v>0</v>
      </c>
      <c r="AF163" s="99">
        <v>0</v>
      </c>
      <c r="AG163" s="99">
        <v>240</v>
      </c>
      <c r="AH163" s="99">
        <v>10</v>
      </c>
      <c r="AI163" s="99">
        <v>24</v>
      </c>
      <c r="AJ163" s="99">
        <v>0</v>
      </c>
      <c r="AK163" s="99">
        <v>0</v>
      </c>
      <c r="AL163" s="99">
        <v>0</v>
      </c>
      <c r="AM163" s="99">
        <v>0</v>
      </c>
      <c r="AN163" s="99">
        <v>0</v>
      </c>
      <c r="AO163" s="99">
        <v>0</v>
      </c>
      <c r="AP163" s="99">
        <v>0</v>
      </c>
      <c r="AQ163" s="99"/>
      <c r="AR163" s="99">
        <v>0</v>
      </c>
      <c r="AS163" s="99">
        <v>240</v>
      </c>
      <c r="AT163" s="99">
        <v>-40</v>
      </c>
      <c r="AU163" s="99" t="s">
        <v>1345</v>
      </c>
      <c r="AV163" s="99">
        <v>4</v>
      </c>
      <c r="AW163" s="99" t="s">
        <v>673</v>
      </c>
      <c r="AX163" s="99"/>
    </row>
    <row r="164" spans="1:50" ht="18" customHeight="1" x14ac:dyDescent="0.25">
      <c r="A164" s="349" t="s">
        <v>336</v>
      </c>
      <c r="B164" s="99" t="s">
        <v>337</v>
      </c>
      <c r="C164" s="99" t="s">
        <v>44</v>
      </c>
      <c r="D164" s="99" t="s">
        <v>35</v>
      </c>
      <c r="E164" s="350">
        <v>41653</v>
      </c>
      <c r="F164" s="99" t="s">
        <v>1429</v>
      </c>
      <c r="G164" s="590"/>
      <c r="H164" s="99">
        <v>0</v>
      </c>
      <c r="I164" s="99"/>
      <c r="J164" s="99"/>
      <c r="K164" s="99" t="s">
        <v>1429</v>
      </c>
      <c r="L164" s="99" t="s">
        <v>1435</v>
      </c>
      <c r="M164" s="99">
        <v>0</v>
      </c>
      <c r="N164" s="99"/>
      <c r="O164" s="99"/>
      <c r="P164" s="99" t="s">
        <v>37</v>
      </c>
      <c r="Q164" s="99" t="s">
        <v>1429</v>
      </c>
      <c r="R164" s="99"/>
      <c r="S164" s="99"/>
      <c r="T164" s="99"/>
      <c r="U164" s="99"/>
      <c r="V164" s="99" t="s">
        <v>46</v>
      </c>
      <c r="W164" s="99" t="s">
        <v>32</v>
      </c>
      <c r="X164" s="99" t="s">
        <v>1429</v>
      </c>
      <c r="Y164" s="99">
        <v>500</v>
      </c>
      <c r="Z164" s="99"/>
      <c r="AA164" s="99">
        <v>580</v>
      </c>
      <c r="AB164" s="99">
        <v>0</v>
      </c>
      <c r="AC164" s="99">
        <v>0</v>
      </c>
      <c r="AD164" s="99">
        <v>0</v>
      </c>
      <c r="AE164" s="99">
        <v>0</v>
      </c>
      <c r="AF164" s="99">
        <v>0</v>
      </c>
      <c r="AG164" s="99">
        <v>240</v>
      </c>
      <c r="AH164" s="99">
        <v>10</v>
      </c>
      <c r="AI164" s="99">
        <v>24</v>
      </c>
      <c r="AJ164" s="99">
        <v>0</v>
      </c>
      <c r="AK164" s="99">
        <v>0</v>
      </c>
      <c r="AL164" s="99">
        <v>10</v>
      </c>
      <c r="AM164" s="99">
        <v>0</v>
      </c>
      <c r="AN164" s="99">
        <v>0</v>
      </c>
      <c r="AO164" s="99">
        <v>0</v>
      </c>
      <c r="AP164" s="99">
        <v>0</v>
      </c>
      <c r="AQ164" s="99" t="s">
        <v>47</v>
      </c>
      <c r="AR164" s="99">
        <v>0</v>
      </c>
      <c r="AS164" s="99">
        <v>240</v>
      </c>
      <c r="AT164" s="99">
        <v>260</v>
      </c>
      <c r="AU164" s="99" t="s">
        <v>1345</v>
      </c>
      <c r="AV164" s="99">
        <v>10</v>
      </c>
      <c r="AW164" s="99" t="s">
        <v>673</v>
      </c>
      <c r="AX164" s="99"/>
    </row>
    <row r="165" spans="1:50" ht="18" customHeight="1" x14ac:dyDescent="0.25">
      <c r="A165" s="349" t="s">
        <v>338</v>
      </c>
      <c r="B165" s="99" t="s">
        <v>339</v>
      </c>
      <c r="C165" s="99" t="s">
        <v>44</v>
      </c>
      <c r="D165" s="99" t="s">
        <v>35</v>
      </c>
      <c r="E165" s="350">
        <v>41548</v>
      </c>
      <c r="F165" s="99" t="s">
        <v>1429</v>
      </c>
      <c r="G165" s="590"/>
      <c r="H165" s="99"/>
      <c r="I165" s="99"/>
      <c r="J165" s="99"/>
      <c r="K165" s="99" t="s">
        <v>1429</v>
      </c>
      <c r="L165" s="99"/>
      <c r="M165" s="99"/>
      <c r="N165" s="99"/>
      <c r="O165" s="99"/>
      <c r="P165" s="99" t="s">
        <v>37</v>
      </c>
      <c r="Q165" s="99" t="s">
        <v>1429</v>
      </c>
      <c r="R165" s="99"/>
      <c r="S165" s="99"/>
      <c r="T165" s="99"/>
      <c r="U165" s="99"/>
      <c r="V165" s="99" t="s">
        <v>46</v>
      </c>
      <c r="W165" s="99" t="s">
        <v>32</v>
      </c>
      <c r="X165" s="99" t="s">
        <v>37</v>
      </c>
      <c r="Y165" s="99">
        <v>100</v>
      </c>
      <c r="Z165" s="99"/>
      <c r="AA165" s="99">
        <v>580</v>
      </c>
      <c r="AB165" s="99">
        <v>0</v>
      </c>
      <c r="AC165" s="99">
        <v>800</v>
      </c>
      <c r="AD165" s="99">
        <v>0</v>
      </c>
      <c r="AE165" s="99">
        <v>0</v>
      </c>
      <c r="AF165" s="99">
        <v>0</v>
      </c>
      <c r="AG165" s="99">
        <v>1040</v>
      </c>
      <c r="AH165" s="99">
        <v>10</v>
      </c>
      <c r="AI165" s="99">
        <v>24</v>
      </c>
      <c r="AJ165" s="99">
        <v>0</v>
      </c>
      <c r="AK165" s="99">
        <v>0</v>
      </c>
      <c r="AL165" s="99">
        <v>0</v>
      </c>
      <c r="AM165" s="99">
        <v>0</v>
      </c>
      <c r="AN165" s="99">
        <v>0</v>
      </c>
      <c r="AO165" s="99">
        <v>0</v>
      </c>
      <c r="AP165" s="99">
        <v>0</v>
      </c>
      <c r="AQ165" s="99" t="s">
        <v>47</v>
      </c>
      <c r="AR165" s="99">
        <v>800</v>
      </c>
      <c r="AS165" s="99">
        <v>1840</v>
      </c>
      <c r="AT165" s="99">
        <v>-1740</v>
      </c>
      <c r="AU165" s="99" t="s">
        <v>1345</v>
      </c>
      <c r="AV165" s="99">
        <v>2</v>
      </c>
      <c r="AW165" s="99" t="s">
        <v>673</v>
      </c>
      <c r="AX165" s="99"/>
    </row>
    <row r="166" spans="1:50" ht="18" customHeight="1" x14ac:dyDescent="0.25">
      <c r="A166" s="349" t="s">
        <v>340</v>
      </c>
      <c r="B166" s="99" t="s">
        <v>341</v>
      </c>
      <c r="C166" s="99" t="s">
        <v>44</v>
      </c>
      <c r="D166" s="99" t="s">
        <v>35</v>
      </c>
      <c r="E166" s="350">
        <v>41548</v>
      </c>
      <c r="F166" s="99" t="s">
        <v>1429</v>
      </c>
      <c r="G166" s="590"/>
      <c r="H166" s="99"/>
      <c r="I166" s="99"/>
      <c r="J166" s="99"/>
      <c r="K166" s="99" t="s">
        <v>1429</v>
      </c>
      <c r="L166" s="99"/>
      <c r="M166" s="99"/>
      <c r="N166" s="99"/>
      <c r="O166" s="99"/>
      <c r="P166" s="99" t="s">
        <v>37</v>
      </c>
      <c r="Q166" s="99" t="s">
        <v>1429</v>
      </c>
      <c r="R166" s="99"/>
      <c r="S166" s="99"/>
      <c r="T166" s="99"/>
      <c r="U166" s="99"/>
      <c r="V166" s="99" t="s">
        <v>46</v>
      </c>
      <c r="W166" s="99" t="s">
        <v>32</v>
      </c>
      <c r="X166" s="99" t="s">
        <v>37</v>
      </c>
      <c r="Y166" s="99">
        <v>200</v>
      </c>
      <c r="Z166" s="99"/>
      <c r="AA166" s="99">
        <v>580</v>
      </c>
      <c r="AB166" s="99">
        <v>0</v>
      </c>
      <c r="AC166" s="99">
        <v>800</v>
      </c>
      <c r="AD166" s="99">
        <v>0</v>
      </c>
      <c r="AE166" s="99">
        <v>0</v>
      </c>
      <c r="AF166" s="99">
        <v>0</v>
      </c>
      <c r="AG166" s="99">
        <v>1040</v>
      </c>
      <c r="AH166" s="99">
        <v>10</v>
      </c>
      <c r="AI166" s="99">
        <v>24</v>
      </c>
      <c r="AJ166" s="99">
        <v>0</v>
      </c>
      <c r="AK166" s="99">
        <v>0</v>
      </c>
      <c r="AL166" s="99">
        <v>0</v>
      </c>
      <c r="AM166" s="99">
        <v>0</v>
      </c>
      <c r="AN166" s="99">
        <v>0</v>
      </c>
      <c r="AO166" s="99">
        <v>0</v>
      </c>
      <c r="AP166" s="99">
        <v>0</v>
      </c>
      <c r="AQ166" s="99" t="s">
        <v>47</v>
      </c>
      <c r="AR166" s="99">
        <v>800</v>
      </c>
      <c r="AS166" s="99">
        <v>1840</v>
      </c>
      <c r="AT166" s="99">
        <v>-1640</v>
      </c>
      <c r="AU166" s="99" t="s">
        <v>1345</v>
      </c>
      <c r="AV166" s="99">
        <v>4</v>
      </c>
      <c r="AW166" s="99" t="s">
        <v>673</v>
      </c>
      <c r="AX166" s="99"/>
    </row>
    <row r="167" spans="1:50" ht="18" customHeight="1" x14ac:dyDescent="0.25">
      <c r="A167" s="349" t="s">
        <v>342</v>
      </c>
      <c r="B167" s="99" t="s">
        <v>343</v>
      </c>
      <c r="C167" s="99" t="s">
        <v>35</v>
      </c>
      <c r="D167" s="99" t="s">
        <v>35</v>
      </c>
      <c r="E167" s="350">
        <v>40087</v>
      </c>
      <c r="F167" s="99" t="s">
        <v>37</v>
      </c>
      <c r="G167" s="590" t="s">
        <v>40</v>
      </c>
      <c r="H167" s="99">
        <v>240</v>
      </c>
      <c r="I167" s="351">
        <v>0.375</v>
      </c>
      <c r="J167" s="351">
        <v>0.70833333333333337</v>
      </c>
      <c r="K167" s="99" t="s">
        <v>1429</v>
      </c>
      <c r="L167" s="99" t="s">
        <v>1435</v>
      </c>
      <c r="M167" s="99" t="s">
        <v>1619</v>
      </c>
      <c r="N167" s="99" t="s">
        <v>1620</v>
      </c>
      <c r="O167" s="99" t="s">
        <v>1603</v>
      </c>
      <c r="P167" s="99" t="s">
        <v>37</v>
      </c>
      <c r="Q167" s="99" t="s">
        <v>1429</v>
      </c>
      <c r="R167" s="99" t="s">
        <v>1807</v>
      </c>
      <c r="S167" s="99" t="s">
        <v>1444</v>
      </c>
      <c r="T167" s="99"/>
      <c r="U167" s="99" t="s">
        <v>36</v>
      </c>
      <c r="V167" s="99" t="s">
        <v>31</v>
      </c>
      <c r="W167" s="99" t="s">
        <v>32</v>
      </c>
      <c r="X167" s="99" t="s">
        <v>37</v>
      </c>
      <c r="Y167" s="99">
        <v>10526</v>
      </c>
      <c r="Z167" s="99">
        <v>0</v>
      </c>
      <c r="AA167" s="99">
        <v>580</v>
      </c>
      <c r="AB167" s="99">
        <v>0</v>
      </c>
      <c r="AC167" s="99">
        <v>0</v>
      </c>
      <c r="AD167" s="99">
        <v>0</v>
      </c>
      <c r="AE167" s="99">
        <v>0</v>
      </c>
      <c r="AF167" s="99">
        <v>200</v>
      </c>
      <c r="AG167" s="99">
        <v>2483</v>
      </c>
      <c r="AH167" s="99">
        <v>30</v>
      </c>
      <c r="AI167" s="99">
        <v>24</v>
      </c>
      <c r="AJ167" s="99">
        <v>0</v>
      </c>
      <c r="AK167" s="99">
        <v>0</v>
      </c>
      <c r="AL167" s="99">
        <v>250</v>
      </c>
      <c r="AM167" s="99">
        <v>0</v>
      </c>
      <c r="AN167" s="99">
        <v>0</v>
      </c>
      <c r="AO167" s="99">
        <v>0</v>
      </c>
      <c r="AP167" s="99">
        <v>0</v>
      </c>
      <c r="AQ167" s="99"/>
      <c r="AR167" s="99">
        <v>1763</v>
      </c>
      <c r="AS167" s="99">
        <v>2683</v>
      </c>
      <c r="AT167" s="99">
        <v>7843</v>
      </c>
      <c r="AU167" s="99" t="s">
        <v>1345</v>
      </c>
      <c r="AV167" s="99">
        <v>210.52</v>
      </c>
      <c r="AW167" s="99" t="s">
        <v>527</v>
      </c>
      <c r="AX167" s="99" t="s">
        <v>1041</v>
      </c>
    </row>
    <row r="168" spans="1:50" ht="18" customHeight="1" x14ac:dyDescent="0.25">
      <c r="A168" s="349" t="s">
        <v>344</v>
      </c>
      <c r="B168" s="99" t="s">
        <v>345</v>
      </c>
      <c r="C168" s="99" t="s">
        <v>44</v>
      </c>
      <c r="D168" s="99" t="s">
        <v>35</v>
      </c>
      <c r="E168" s="350">
        <v>41548</v>
      </c>
      <c r="F168" s="99" t="s">
        <v>1429</v>
      </c>
      <c r="G168" s="590"/>
      <c r="H168" s="99"/>
      <c r="I168" s="99"/>
      <c r="J168" s="99"/>
      <c r="K168" s="99" t="s">
        <v>1429</v>
      </c>
      <c r="L168" s="99"/>
      <c r="M168" s="99"/>
      <c r="N168" s="99"/>
      <c r="O168" s="99"/>
      <c r="P168" s="99" t="s">
        <v>37</v>
      </c>
      <c r="Q168" s="99" t="s">
        <v>1429</v>
      </c>
      <c r="R168" s="99"/>
      <c r="S168" s="99"/>
      <c r="T168" s="99"/>
      <c r="U168" s="99"/>
      <c r="V168" s="99" t="s">
        <v>46</v>
      </c>
      <c r="W168" s="99" t="s">
        <v>32</v>
      </c>
      <c r="X168" s="99" t="s">
        <v>37</v>
      </c>
      <c r="Y168" s="99">
        <v>200</v>
      </c>
      <c r="Z168" s="99"/>
      <c r="AA168" s="99">
        <v>580</v>
      </c>
      <c r="AB168" s="99">
        <v>0</v>
      </c>
      <c r="AC168" s="99">
        <v>800</v>
      </c>
      <c r="AD168" s="99">
        <v>0</v>
      </c>
      <c r="AE168" s="99">
        <v>0</v>
      </c>
      <c r="AF168" s="99">
        <v>0</v>
      </c>
      <c r="AG168" s="99">
        <v>1040</v>
      </c>
      <c r="AH168" s="99">
        <v>10</v>
      </c>
      <c r="AI168" s="99">
        <v>24</v>
      </c>
      <c r="AJ168" s="99">
        <v>0</v>
      </c>
      <c r="AK168" s="99">
        <v>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 t="s">
        <v>47</v>
      </c>
      <c r="AR168" s="99">
        <v>800</v>
      </c>
      <c r="AS168" s="99">
        <v>1840</v>
      </c>
      <c r="AT168" s="99">
        <v>-1640</v>
      </c>
      <c r="AU168" s="99" t="s">
        <v>1345</v>
      </c>
      <c r="AV168" s="99">
        <v>4</v>
      </c>
      <c r="AW168" s="99" t="s">
        <v>673</v>
      </c>
      <c r="AX168" s="99"/>
    </row>
    <row r="169" spans="1:50" ht="18" customHeight="1" x14ac:dyDescent="0.25">
      <c r="A169" s="349" t="s">
        <v>346</v>
      </c>
      <c r="B169" s="99" t="s">
        <v>347</v>
      </c>
      <c r="C169" s="99" t="s">
        <v>44</v>
      </c>
      <c r="D169" s="99" t="s">
        <v>35</v>
      </c>
      <c r="E169" s="350">
        <v>40913</v>
      </c>
      <c r="F169" s="99" t="s">
        <v>1429</v>
      </c>
      <c r="G169" s="590" t="s">
        <v>44</v>
      </c>
      <c r="H169" s="99">
        <v>0</v>
      </c>
      <c r="I169" s="99"/>
      <c r="J169" s="99"/>
      <c r="K169" s="99" t="s">
        <v>1429</v>
      </c>
      <c r="L169" s="99">
        <v>0</v>
      </c>
      <c r="M169" s="99">
        <v>0</v>
      </c>
      <c r="N169" s="99"/>
      <c r="O169" s="99"/>
      <c r="P169" s="99" t="s">
        <v>37</v>
      </c>
      <c r="Q169" s="99" t="s">
        <v>1429</v>
      </c>
      <c r="R169" s="99"/>
      <c r="S169" s="99"/>
      <c r="T169" s="99"/>
      <c r="U169" s="99"/>
      <c r="V169" s="99" t="s">
        <v>46</v>
      </c>
      <c r="W169" s="99" t="s">
        <v>32</v>
      </c>
      <c r="X169" s="99" t="s">
        <v>37</v>
      </c>
      <c r="Y169" s="99">
        <v>6725</v>
      </c>
      <c r="Z169" s="99">
        <v>0</v>
      </c>
      <c r="AA169" s="99">
        <v>580</v>
      </c>
      <c r="AB169" s="99">
        <v>0</v>
      </c>
      <c r="AC169" s="99">
        <v>1480</v>
      </c>
      <c r="AD169" s="99">
        <v>0</v>
      </c>
      <c r="AE169" s="99">
        <v>0</v>
      </c>
      <c r="AF169" s="99">
        <v>0</v>
      </c>
      <c r="AG169" s="99">
        <v>7523</v>
      </c>
      <c r="AH169" s="99">
        <v>240</v>
      </c>
      <c r="AI169" s="99">
        <v>24</v>
      </c>
      <c r="AJ169" s="99">
        <v>0</v>
      </c>
      <c r="AK169" s="99">
        <v>0</v>
      </c>
      <c r="AL169" s="99">
        <v>0</v>
      </c>
      <c r="AM169" s="99">
        <v>0</v>
      </c>
      <c r="AN169" s="99">
        <v>0</v>
      </c>
      <c r="AO169" s="99">
        <v>0</v>
      </c>
      <c r="AP169" s="99">
        <v>0</v>
      </c>
      <c r="AQ169" s="99" t="s">
        <v>47</v>
      </c>
      <c r="AR169" s="99">
        <v>1763</v>
      </c>
      <c r="AS169" s="99">
        <v>9003</v>
      </c>
      <c r="AT169" s="99">
        <v>-2278</v>
      </c>
      <c r="AU169" s="99" t="s">
        <v>1345</v>
      </c>
      <c r="AV169" s="99">
        <v>134.5</v>
      </c>
      <c r="AW169" s="99" t="s">
        <v>681</v>
      </c>
      <c r="AX169" s="99" t="s">
        <v>1866</v>
      </c>
    </row>
    <row r="170" spans="1:50" ht="18" customHeight="1" x14ac:dyDescent="0.25">
      <c r="A170" s="349" t="s">
        <v>348</v>
      </c>
      <c r="B170" s="99" t="s">
        <v>349</v>
      </c>
      <c r="C170" s="99" t="s">
        <v>30</v>
      </c>
      <c r="D170" s="99" t="s">
        <v>30</v>
      </c>
      <c r="E170" s="350">
        <v>41241</v>
      </c>
      <c r="F170" s="99" t="s">
        <v>37</v>
      </c>
      <c r="G170" s="590" t="s">
        <v>126</v>
      </c>
      <c r="H170" s="99">
        <v>240</v>
      </c>
      <c r="I170" s="351">
        <v>0.375</v>
      </c>
      <c r="J170" s="351">
        <v>0.70833333333333337</v>
      </c>
      <c r="K170" s="99" t="s">
        <v>1429</v>
      </c>
      <c r="L170" s="99" t="s">
        <v>1435</v>
      </c>
      <c r="M170" s="352">
        <v>43234</v>
      </c>
      <c r="N170" s="99" t="s">
        <v>1621</v>
      </c>
      <c r="O170" s="99"/>
      <c r="P170" s="99" t="s">
        <v>37</v>
      </c>
      <c r="Q170" s="99" t="s">
        <v>1429</v>
      </c>
      <c r="R170" s="99" t="s">
        <v>1808</v>
      </c>
      <c r="S170" s="99" t="s">
        <v>1444</v>
      </c>
      <c r="T170" s="99"/>
      <c r="U170" s="99"/>
      <c r="V170" s="99" t="s">
        <v>46</v>
      </c>
      <c r="W170" s="99" t="s">
        <v>32</v>
      </c>
      <c r="X170" s="99" t="s">
        <v>37</v>
      </c>
      <c r="Y170" s="99">
        <v>6000</v>
      </c>
      <c r="Z170" s="99">
        <v>1</v>
      </c>
      <c r="AA170" s="99">
        <v>580</v>
      </c>
      <c r="AB170" s="99">
        <v>0</v>
      </c>
      <c r="AC170" s="99">
        <v>1480</v>
      </c>
      <c r="AD170" s="99">
        <v>0</v>
      </c>
      <c r="AE170" s="99">
        <v>0</v>
      </c>
      <c r="AF170" s="99">
        <v>0</v>
      </c>
      <c r="AG170" s="99">
        <v>2003</v>
      </c>
      <c r="AH170" s="99">
        <v>10</v>
      </c>
      <c r="AI170" s="99">
        <v>24</v>
      </c>
      <c r="AJ170" s="99">
        <v>0</v>
      </c>
      <c r="AK170" s="99">
        <v>0</v>
      </c>
      <c r="AL170" s="99">
        <v>5</v>
      </c>
      <c r="AM170" s="99">
        <v>0</v>
      </c>
      <c r="AN170" s="99">
        <v>0</v>
      </c>
      <c r="AO170" s="99">
        <v>0</v>
      </c>
      <c r="AP170" s="99">
        <v>0</v>
      </c>
      <c r="AQ170" s="99" t="s">
        <v>47</v>
      </c>
      <c r="AR170" s="99">
        <v>1763</v>
      </c>
      <c r="AS170" s="99">
        <v>4063</v>
      </c>
      <c r="AT170" s="99">
        <v>1937</v>
      </c>
      <c r="AU170" s="99" t="s">
        <v>1345</v>
      </c>
      <c r="AV170" s="99">
        <v>120</v>
      </c>
      <c r="AW170" s="99" t="s">
        <v>527</v>
      </c>
      <c r="AX170" s="99" t="s">
        <v>1861</v>
      </c>
    </row>
    <row r="171" spans="1:50" ht="18" customHeight="1" x14ac:dyDescent="0.25">
      <c r="A171" s="349" t="s">
        <v>350</v>
      </c>
      <c r="B171" s="99" t="s">
        <v>351</v>
      </c>
      <c r="C171" s="99" t="s">
        <v>44</v>
      </c>
      <c r="D171" s="99" t="s">
        <v>56</v>
      </c>
      <c r="E171" s="350">
        <v>40491</v>
      </c>
      <c r="F171" s="99" t="s">
        <v>37</v>
      </c>
      <c r="G171" s="590" t="s">
        <v>44</v>
      </c>
      <c r="H171" s="99">
        <v>240</v>
      </c>
      <c r="I171" s="351">
        <v>0.375</v>
      </c>
      <c r="J171" s="351">
        <v>4.1666666666666664E-2</v>
      </c>
      <c r="K171" s="99" t="s">
        <v>1429</v>
      </c>
      <c r="L171" s="99" t="s">
        <v>1435</v>
      </c>
      <c r="M171" s="99">
        <v>0</v>
      </c>
      <c r="N171" s="99" t="s">
        <v>1622</v>
      </c>
      <c r="O171" s="99" t="s">
        <v>1603</v>
      </c>
      <c r="P171" s="99" t="s">
        <v>37</v>
      </c>
      <c r="Q171" s="99" t="s">
        <v>1429</v>
      </c>
      <c r="R171" s="99" t="s">
        <v>1623</v>
      </c>
      <c r="S171" s="99" t="s">
        <v>1444</v>
      </c>
      <c r="T171" s="99"/>
      <c r="U171" s="99"/>
      <c r="V171" s="99" t="s">
        <v>46</v>
      </c>
      <c r="W171" s="99" t="s">
        <v>32</v>
      </c>
      <c r="X171" s="99" t="s">
        <v>37</v>
      </c>
      <c r="Y171" s="99">
        <v>1033</v>
      </c>
      <c r="Z171" s="99">
        <v>0</v>
      </c>
      <c r="AA171" s="99">
        <v>580</v>
      </c>
      <c r="AB171" s="99">
        <v>0</v>
      </c>
      <c r="AC171" s="99">
        <v>1480</v>
      </c>
      <c r="AD171" s="99">
        <v>0</v>
      </c>
      <c r="AE171" s="99">
        <v>0</v>
      </c>
      <c r="AF171" s="99">
        <v>0</v>
      </c>
      <c r="AG171" s="99">
        <v>1883</v>
      </c>
      <c r="AH171" s="99">
        <v>5</v>
      </c>
      <c r="AI171" s="99">
        <v>24</v>
      </c>
      <c r="AJ171" s="99">
        <v>0</v>
      </c>
      <c r="AK171" s="99">
        <v>0</v>
      </c>
      <c r="AL171" s="99">
        <v>10</v>
      </c>
      <c r="AM171" s="99">
        <v>0</v>
      </c>
      <c r="AN171" s="99">
        <v>0</v>
      </c>
      <c r="AO171" s="99">
        <v>0</v>
      </c>
      <c r="AP171" s="99">
        <v>0</v>
      </c>
      <c r="AQ171" s="99" t="s">
        <v>47</v>
      </c>
      <c r="AR171" s="99">
        <v>1763</v>
      </c>
      <c r="AS171" s="99">
        <v>3363</v>
      </c>
      <c r="AT171" s="99">
        <v>-2330</v>
      </c>
      <c r="AU171" s="99" t="s">
        <v>1345</v>
      </c>
      <c r="AV171" s="99">
        <v>20.66</v>
      </c>
      <c r="AW171" s="99" t="s">
        <v>682</v>
      </c>
      <c r="AX171" s="99" t="s">
        <v>1048</v>
      </c>
    </row>
    <row r="172" spans="1:50" ht="18" customHeight="1" x14ac:dyDescent="0.25">
      <c r="A172" s="349" t="s">
        <v>645</v>
      </c>
      <c r="B172" s="99" t="s">
        <v>646</v>
      </c>
      <c r="C172" s="99" t="s">
        <v>56</v>
      </c>
      <c r="D172" s="99" t="s">
        <v>56</v>
      </c>
      <c r="E172" s="350">
        <v>42461</v>
      </c>
      <c r="F172" s="99" t="s">
        <v>37</v>
      </c>
      <c r="G172" s="590" t="s">
        <v>544</v>
      </c>
      <c r="H172" s="99">
        <v>240</v>
      </c>
      <c r="I172" s="351">
        <v>0.375</v>
      </c>
      <c r="J172" s="351">
        <v>0.70833333333333337</v>
      </c>
      <c r="K172" s="99" t="s">
        <v>1429</v>
      </c>
      <c r="L172" s="99" t="s">
        <v>1435</v>
      </c>
      <c r="M172" s="352">
        <v>43160</v>
      </c>
      <c r="N172" s="99" t="s">
        <v>1624</v>
      </c>
      <c r="O172" s="99" t="s">
        <v>1603</v>
      </c>
      <c r="P172" s="99" t="s">
        <v>37</v>
      </c>
      <c r="Q172" s="99" t="s">
        <v>1429</v>
      </c>
      <c r="R172" s="99" t="s">
        <v>1809</v>
      </c>
      <c r="S172" s="99" t="s">
        <v>1444</v>
      </c>
      <c r="T172" s="350">
        <v>43251</v>
      </c>
      <c r="U172" s="99"/>
      <c r="V172" s="99" t="s">
        <v>46</v>
      </c>
      <c r="W172" s="99" t="s">
        <v>32</v>
      </c>
      <c r="X172" s="99" t="s">
        <v>37</v>
      </c>
      <c r="Y172" s="99">
        <v>1100</v>
      </c>
      <c r="Z172" s="99">
        <v>0</v>
      </c>
      <c r="AA172" s="99">
        <v>580</v>
      </c>
      <c r="AB172" s="99">
        <v>0</v>
      </c>
      <c r="AC172" s="99">
        <v>1480</v>
      </c>
      <c r="AD172" s="99">
        <v>0</v>
      </c>
      <c r="AE172" s="99">
        <v>0</v>
      </c>
      <c r="AF172" s="99">
        <v>0</v>
      </c>
      <c r="AG172" s="99">
        <v>1883</v>
      </c>
      <c r="AH172" s="99">
        <v>5</v>
      </c>
      <c r="AI172" s="99">
        <v>24</v>
      </c>
      <c r="AJ172" s="99">
        <v>0</v>
      </c>
      <c r="AK172" s="99">
        <v>0</v>
      </c>
      <c r="AL172" s="99">
        <v>0</v>
      </c>
      <c r="AM172" s="99">
        <v>0</v>
      </c>
      <c r="AN172" s="99">
        <v>0</v>
      </c>
      <c r="AO172" s="99">
        <v>0</v>
      </c>
      <c r="AP172" s="99">
        <v>0</v>
      </c>
      <c r="AQ172" s="99" t="s">
        <v>576</v>
      </c>
      <c r="AR172" s="99">
        <v>1763</v>
      </c>
      <c r="AS172" s="99">
        <v>3363</v>
      </c>
      <c r="AT172" s="99">
        <v>-2263</v>
      </c>
      <c r="AU172" s="99" t="s">
        <v>1345</v>
      </c>
      <c r="AV172" s="99">
        <v>22</v>
      </c>
      <c r="AW172" s="99" t="s">
        <v>530</v>
      </c>
      <c r="AX172" s="99" t="s">
        <v>1852</v>
      </c>
    </row>
    <row r="173" spans="1:50" ht="18" customHeight="1" x14ac:dyDescent="0.25">
      <c r="A173" s="349" t="s">
        <v>352</v>
      </c>
      <c r="B173" s="99" t="s">
        <v>353</v>
      </c>
      <c r="C173" s="99" t="s">
        <v>44</v>
      </c>
      <c r="D173" s="99" t="s">
        <v>30</v>
      </c>
      <c r="E173" s="350">
        <v>41493</v>
      </c>
      <c r="F173" s="99" t="s">
        <v>37</v>
      </c>
      <c r="G173" s="590" t="s">
        <v>44</v>
      </c>
      <c r="H173" s="99">
        <v>240</v>
      </c>
      <c r="I173" s="351">
        <v>0.375</v>
      </c>
      <c r="J173" s="351">
        <v>0.70833333333333337</v>
      </c>
      <c r="K173" s="99" t="s">
        <v>1429</v>
      </c>
      <c r="L173" s="99" t="s">
        <v>1435</v>
      </c>
      <c r="M173" s="352">
        <v>43345</v>
      </c>
      <c r="N173" s="99" t="s">
        <v>1625</v>
      </c>
      <c r="O173" s="99" t="s">
        <v>1603</v>
      </c>
      <c r="P173" s="99" t="s">
        <v>37</v>
      </c>
      <c r="Q173" s="99" t="s">
        <v>1429</v>
      </c>
      <c r="R173" s="99" t="s">
        <v>1810</v>
      </c>
      <c r="S173" s="99"/>
      <c r="T173" s="99"/>
      <c r="U173" s="99"/>
      <c r="V173" s="99" t="s">
        <v>46</v>
      </c>
      <c r="W173" s="99" t="s">
        <v>32</v>
      </c>
      <c r="X173" s="99" t="s">
        <v>37</v>
      </c>
      <c r="Y173" s="99">
        <v>3000</v>
      </c>
      <c r="Z173" s="99">
        <v>1</v>
      </c>
      <c r="AA173" s="99">
        <v>580</v>
      </c>
      <c r="AB173" s="99">
        <v>0</v>
      </c>
      <c r="AC173" s="99">
        <v>1480</v>
      </c>
      <c r="AD173" s="99">
        <v>0</v>
      </c>
      <c r="AE173" s="99">
        <v>0</v>
      </c>
      <c r="AF173" s="99">
        <v>0</v>
      </c>
      <c r="AG173" s="99">
        <v>2003</v>
      </c>
      <c r="AH173" s="99">
        <v>10</v>
      </c>
      <c r="AI173" s="99">
        <v>24</v>
      </c>
      <c r="AJ173" s="99">
        <v>0</v>
      </c>
      <c r="AK173" s="99">
        <v>0</v>
      </c>
      <c r="AL173" s="99">
        <v>0</v>
      </c>
      <c r="AM173" s="99">
        <v>0</v>
      </c>
      <c r="AN173" s="99">
        <v>0</v>
      </c>
      <c r="AO173" s="99">
        <v>0</v>
      </c>
      <c r="AP173" s="99">
        <v>0</v>
      </c>
      <c r="AQ173" s="99" t="s">
        <v>47</v>
      </c>
      <c r="AR173" s="99">
        <v>1763</v>
      </c>
      <c r="AS173" s="99">
        <v>4063</v>
      </c>
      <c r="AT173" s="99">
        <v>-1063</v>
      </c>
      <c r="AU173" s="99" t="s">
        <v>1345</v>
      </c>
      <c r="AV173" s="99">
        <v>60</v>
      </c>
      <c r="AW173" s="99" t="s">
        <v>530</v>
      </c>
      <c r="AX173" s="99" t="s">
        <v>1853</v>
      </c>
    </row>
    <row r="174" spans="1:50" ht="18" customHeight="1" x14ac:dyDescent="0.25">
      <c r="A174" s="349" t="s">
        <v>1410</v>
      </c>
      <c r="B174" s="99" t="s">
        <v>1411</v>
      </c>
      <c r="C174" s="99" t="s">
        <v>56</v>
      </c>
      <c r="D174" s="99" t="s">
        <v>56</v>
      </c>
      <c r="E174" s="350">
        <v>42826</v>
      </c>
      <c r="F174" s="99" t="s">
        <v>1429</v>
      </c>
      <c r="G174" s="590" t="s">
        <v>66</v>
      </c>
      <c r="H174" s="99">
        <v>240</v>
      </c>
      <c r="I174" s="351">
        <v>0.375</v>
      </c>
      <c r="J174" s="351">
        <v>0.70833333333333337</v>
      </c>
      <c r="K174" s="99" t="s">
        <v>1429</v>
      </c>
      <c r="L174" s="99" t="s">
        <v>1435</v>
      </c>
      <c r="M174" s="99">
        <v>0</v>
      </c>
      <c r="N174" s="99" t="s">
        <v>1626</v>
      </c>
      <c r="O174" s="99" t="s">
        <v>1603</v>
      </c>
      <c r="P174" s="99" t="s">
        <v>37</v>
      </c>
      <c r="Q174" s="99" t="s">
        <v>1429</v>
      </c>
      <c r="R174" s="99" t="s">
        <v>1811</v>
      </c>
      <c r="S174" s="99" t="s">
        <v>1444</v>
      </c>
      <c r="T174" s="99"/>
      <c r="U174" s="99"/>
      <c r="V174" s="99" t="s">
        <v>46</v>
      </c>
      <c r="W174" s="99" t="s">
        <v>32</v>
      </c>
      <c r="X174" s="99" t="s">
        <v>37</v>
      </c>
      <c r="Y174" s="99">
        <v>6000</v>
      </c>
      <c r="Z174" s="99">
        <v>1</v>
      </c>
      <c r="AA174" s="99">
        <v>580</v>
      </c>
      <c r="AB174" s="99">
        <v>0</v>
      </c>
      <c r="AC174" s="99">
        <v>1480</v>
      </c>
      <c r="AD174" s="99">
        <v>0</v>
      </c>
      <c r="AE174" s="99">
        <v>0</v>
      </c>
      <c r="AF174" s="99">
        <v>0</v>
      </c>
      <c r="AG174" s="99">
        <v>2123</v>
      </c>
      <c r="AH174" s="99">
        <v>15</v>
      </c>
      <c r="AI174" s="99">
        <v>24</v>
      </c>
      <c r="AJ174" s="99">
        <v>0</v>
      </c>
      <c r="AK174" s="99">
        <v>0</v>
      </c>
      <c r="AL174" s="99">
        <v>0</v>
      </c>
      <c r="AM174" s="99">
        <v>0</v>
      </c>
      <c r="AN174" s="99">
        <v>0</v>
      </c>
      <c r="AO174" s="99">
        <v>0</v>
      </c>
      <c r="AP174" s="99">
        <v>0</v>
      </c>
      <c r="AQ174" s="99" t="s">
        <v>576</v>
      </c>
      <c r="AR174" s="99">
        <v>1763</v>
      </c>
      <c r="AS174" s="99">
        <v>4183</v>
      </c>
      <c r="AT174" s="99">
        <v>1817</v>
      </c>
      <c r="AU174" s="99" t="s">
        <v>1345</v>
      </c>
      <c r="AV174" s="99">
        <v>120</v>
      </c>
      <c r="AW174" s="99" t="s">
        <v>527</v>
      </c>
      <c r="AX174" s="99" t="s">
        <v>1061</v>
      </c>
    </row>
    <row r="175" spans="1:50" ht="18" customHeight="1" x14ac:dyDescent="0.25">
      <c r="A175" s="349" t="s">
        <v>354</v>
      </c>
      <c r="B175" s="99" t="s">
        <v>355</v>
      </c>
      <c r="C175" s="99" t="s">
        <v>35</v>
      </c>
      <c r="D175" s="99" t="s">
        <v>35</v>
      </c>
      <c r="E175" s="350">
        <v>41091</v>
      </c>
      <c r="F175" s="99" t="s">
        <v>37</v>
      </c>
      <c r="G175" s="590" t="s">
        <v>547</v>
      </c>
      <c r="H175" s="99">
        <v>120</v>
      </c>
      <c r="I175" s="351">
        <v>0.375</v>
      </c>
      <c r="J175" s="351">
        <v>0.70833333333333337</v>
      </c>
      <c r="K175" s="99" t="s">
        <v>1429</v>
      </c>
      <c r="L175" s="99" t="s">
        <v>1435</v>
      </c>
      <c r="M175" s="352">
        <v>43206</v>
      </c>
      <c r="N175" s="99" t="s">
        <v>1627</v>
      </c>
      <c r="O175" s="99" t="s">
        <v>1603</v>
      </c>
      <c r="P175" s="99" t="s">
        <v>37</v>
      </c>
      <c r="Q175" s="99" t="s">
        <v>1429</v>
      </c>
      <c r="R175" s="99" t="s">
        <v>1812</v>
      </c>
      <c r="S175" s="99" t="s">
        <v>1444</v>
      </c>
      <c r="T175" s="99"/>
      <c r="U175" s="99"/>
      <c r="V175" s="99" t="s">
        <v>46</v>
      </c>
      <c r="W175" s="99" t="s">
        <v>32</v>
      </c>
      <c r="X175" s="99" t="s">
        <v>37</v>
      </c>
      <c r="Y175" s="99">
        <v>5237</v>
      </c>
      <c r="Z175" s="99">
        <v>1</v>
      </c>
      <c r="AA175" s="99">
        <v>580</v>
      </c>
      <c r="AB175" s="99">
        <v>0</v>
      </c>
      <c r="AC175" s="99">
        <v>1480</v>
      </c>
      <c r="AD175" s="99">
        <v>0</v>
      </c>
      <c r="AE175" s="99">
        <v>0</v>
      </c>
      <c r="AF175" s="99">
        <v>0</v>
      </c>
      <c r="AG175" s="99">
        <v>2003</v>
      </c>
      <c r="AH175" s="99">
        <v>10</v>
      </c>
      <c r="AI175" s="99">
        <v>24</v>
      </c>
      <c r="AJ175" s="99">
        <v>0</v>
      </c>
      <c r="AK175" s="99">
        <v>0</v>
      </c>
      <c r="AL175" s="99">
        <v>10</v>
      </c>
      <c r="AM175" s="99">
        <v>0</v>
      </c>
      <c r="AN175" s="99">
        <v>0</v>
      </c>
      <c r="AO175" s="99">
        <v>0</v>
      </c>
      <c r="AP175" s="99">
        <v>0</v>
      </c>
      <c r="AQ175" s="99" t="s">
        <v>47</v>
      </c>
      <c r="AR175" s="99">
        <v>1763</v>
      </c>
      <c r="AS175" s="99">
        <v>4063</v>
      </c>
      <c r="AT175" s="99">
        <v>1174</v>
      </c>
      <c r="AU175" s="99" t="s">
        <v>1345</v>
      </c>
      <c r="AV175" s="99">
        <v>104.74</v>
      </c>
      <c r="AW175" s="99" t="s">
        <v>527</v>
      </c>
      <c r="AX175" s="99" t="s">
        <v>1861</v>
      </c>
    </row>
    <row r="176" spans="1:50" ht="18" customHeight="1" x14ac:dyDescent="0.25">
      <c r="A176" s="349" t="s">
        <v>356</v>
      </c>
      <c r="B176" s="99" t="s">
        <v>357</v>
      </c>
      <c r="C176" s="99" t="s">
        <v>30</v>
      </c>
      <c r="D176" s="99" t="s">
        <v>30</v>
      </c>
      <c r="E176" s="350">
        <v>40544</v>
      </c>
      <c r="F176" s="99" t="s">
        <v>37</v>
      </c>
      <c r="G176" s="590" t="s">
        <v>272</v>
      </c>
      <c r="H176" s="99">
        <v>240</v>
      </c>
      <c r="I176" s="351">
        <v>0.375</v>
      </c>
      <c r="J176" s="351">
        <v>0.70833333333333337</v>
      </c>
      <c r="K176" s="99" t="s">
        <v>1429</v>
      </c>
      <c r="L176" s="99" t="s">
        <v>1435</v>
      </c>
      <c r="M176" s="99">
        <v>28</v>
      </c>
      <c r="N176" s="99" t="s">
        <v>1628</v>
      </c>
      <c r="O176" s="99" t="s">
        <v>1603</v>
      </c>
      <c r="P176" s="99" t="s">
        <v>37</v>
      </c>
      <c r="Q176" s="99" t="s">
        <v>1429</v>
      </c>
      <c r="R176" s="99" t="s">
        <v>1813</v>
      </c>
      <c r="S176" s="99" t="s">
        <v>1444</v>
      </c>
      <c r="T176" s="99"/>
      <c r="U176" s="99"/>
      <c r="V176" s="99" t="s">
        <v>46</v>
      </c>
      <c r="W176" s="99" t="s">
        <v>32</v>
      </c>
      <c r="X176" s="99" t="s">
        <v>37</v>
      </c>
      <c r="Y176" s="99">
        <v>5237</v>
      </c>
      <c r="Z176" s="99">
        <v>1</v>
      </c>
      <c r="AA176" s="99">
        <v>580</v>
      </c>
      <c r="AB176" s="99">
        <v>0</v>
      </c>
      <c r="AC176" s="99">
        <v>1480</v>
      </c>
      <c r="AD176" s="99">
        <v>0</v>
      </c>
      <c r="AE176" s="99">
        <v>0</v>
      </c>
      <c r="AF176" s="99">
        <v>0</v>
      </c>
      <c r="AG176" s="99">
        <v>2003</v>
      </c>
      <c r="AH176" s="99">
        <v>10</v>
      </c>
      <c r="AI176" s="99">
        <v>24</v>
      </c>
      <c r="AJ176" s="99">
        <v>0</v>
      </c>
      <c r="AK176" s="99">
        <v>0</v>
      </c>
      <c r="AL176" s="99">
        <v>10</v>
      </c>
      <c r="AM176" s="99">
        <v>0</v>
      </c>
      <c r="AN176" s="99">
        <v>0</v>
      </c>
      <c r="AO176" s="99">
        <v>0</v>
      </c>
      <c r="AP176" s="99">
        <v>0</v>
      </c>
      <c r="AQ176" s="99" t="s">
        <v>47</v>
      </c>
      <c r="AR176" s="99">
        <v>1763</v>
      </c>
      <c r="AS176" s="99">
        <v>4063</v>
      </c>
      <c r="AT176" s="99">
        <v>1174</v>
      </c>
      <c r="AU176" s="99" t="s">
        <v>1345</v>
      </c>
      <c r="AV176" s="99">
        <v>104.74</v>
      </c>
      <c r="AW176" s="99" t="s">
        <v>527</v>
      </c>
      <c r="AX176" s="99" t="s">
        <v>1795</v>
      </c>
    </row>
    <row r="177" spans="1:50" ht="18" customHeight="1" x14ac:dyDescent="0.25">
      <c r="A177" s="349" t="s">
        <v>358</v>
      </c>
      <c r="B177" s="99" t="s">
        <v>359</v>
      </c>
      <c r="C177" s="99" t="s">
        <v>29</v>
      </c>
      <c r="D177" s="99" t="s">
        <v>56</v>
      </c>
      <c r="E177" s="350">
        <v>42278</v>
      </c>
      <c r="F177" s="99" t="s">
        <v>37</v>
      </c>
      <c r="G177" s="590" t="s">
        <v>29</v>
      </c>
      <c r="H177" s="99">
        <v>120</v>
      </c>
      <c r="I177" s="351">
        <v>0.375</v>
      </c>
      <c r="J177" s="351">
        <v>0.70833333333333337</v>
      </c>
      <c r="K177" s="99" t="s">
        <v>1429</v>
      </c>
      <c r="L177" s="99">
        <v>99</v>
      </c>
      <c r="M177" s="99">
        <v>0</v>
      </c>
      <c r="N177" s="99" t="s">
        <v>1629</v>
      </c>
      <c r="O177" s="99" t="s">
        <v>1603</v>
      </c>
      <c r="P177" s="99" t="s">
        <v>37</v>
      </c>
      <c r="Q177" s="99" t="s">
        <v>1429</v>
      </c>
      <c r="R177" s="99"/>
      <c r="S177" s="99" t="s">
        <v>1444</v>
      </c>
      <c r="T177" s="99"/>
      <c r="U177" s="99"/>
      <c r="V177" s="99" t="s">
        <v>31</v>
      </c>
      <c r="W177" s="99" t="s">
        <v>32</v>
      </c>
      <c r="X177" s="99" t="s">
        <v>37</v>
      </c>
      <c r="Y177" s="99">
        <v>200</v>
      </c>
      <c r="Z177" s="99">
        <v>0</v>
      </c>
      <c r="AA177" s="99">
        <v>580</v>
      </c>
      <c r="AB177" s="99">
        <v>0</v>
      </c>
      <c r="AC177" s="99">
        <v>0</v>
      </c>
      <c r="AD177" s="99">
        <v>0</v>
      </c>
      <c r="AE177" s="99">
        <v>0</v>
      </c>
      <c r="AF177" s="99">
        <v>0</v>
      </c>
      <c r="AG177" s="99">
        <v>1775</v>
      </c>
      <c r="AH177" s="99" t="s">
        <v>41</v>
      </c>
      <c r="AI177" s="99">
        <v>24</v>
      </c>
      <c r="AJ177" s="99">
        <v>0</v>
      </c>
      <c r="AK177" s="99">
        <v>0</v>
      </c>
      <c r="AL177" s="99">
        <v>0</v>
      </c>
      <c r="AM177" s="99">
        <v>0</v>
      </c>
      <c r="AN177" s="99">
        <v>0</v>
      </c>
      <c r="AO177" s="99">
        <v>0</v>
      </c>
      <c r="AP177" s="99">
        <v>0</v>
      </c>
      <c r="AQ177" s="99"/>
      <c r="AR177" s="99">
        <v>1763</v>
      </c>
      <c r="AS177" s="99">
        <v>1775</v>
      </c>
      <c r="AT177" s="99">
        <v>-1575</v>
      </c>
      <c r="AU177" s="99" t="s">
        <v>1345</v>
      </c>
      <c r="AV177" s="99">
        <v>4</v>
      </c>
      <c r="AW177" s="99" t="s">
        <v>530</v>
      </c>
      <c r="AX177" s="99" t="s">
        <v>1860</v>
      </c>
    </row>
    <row r="178" spans="1:50" ht="18" customHeight="1" x14ac:dyDescent="0.25">
      <c r="A178" s="349" t="s">
        <v>360</v>
      </c>
      <c r="B178" s="99" t="s">
        <v>361</v>
      </c>
      <c r="C178" s="99" t="s">
        <v>35</v>
      </c>
      <c r="D178" s="99" t="s">
        <v>35</v>
      </c>
      <c r="E178" s="350">
        <v>41225</v>
      </c>
      <c r="F178" s="99" t="s">
        <v>37</v>
      </c>
      <c r="G178" s="590" t="s">
        <v>272</v>
      </c>
      <c r="H178" s="99">
        <v>120</v>
      </c>
      <c r="I178" s="351">
        <v>0.375</v>
      </c>
      <c r="J178" s="351">
        <v>0.70833333333333337</v>
      </c>
      <c r="K178" s="99" t="s">
        <v>1429</v>
      </c>
      <c r="L178" s="99" t="s">
        <v>1435</v>
      </c>
      <c r="M178" s="99" t="s">
        <v>1630</v>
      </c>
      <c r="N178" s="99" t="s">
        <v>1631</v>
      </c>
      <c r="O178" s="99" t="s">
        <v>1603</v>
      </c>
      <c r="P178" s="99" t="s">
        <v>37</v>
      </c>
      <c r="Q178" s="99" t="s">
        <v>1429</v>
      </c>
      <c r="R178" s="99" t="s">
        <v>1814</v>
      </c>
      <c r="S178" s="99" t="s">
        <v>1444</v>
      </c>
      <c r="T178" s="350">
        <v>43465</v>
      </c>
      <c r="U178" s="99"/>
      <c r="V178" s="99" t="s">
        <v>46</v>
      </c>
      <c r="W178" s="99" t="s">
        <v>32</v>
      </c>
      <c r="X178" s="99" t="s">
        <v>37</v>
      </c>
      <c r="Y178" s="99">
        <v>10650</v>
      </c>
      <c r="Z178" s="99">
        <v>1</v>
      </c>
      <c r="AA178" s="99">
        <v>580</v>
      </c>
      <c r="AB178" s="99">
        <v>0</v>
      </c>
      <c r="AC178" s="99">
        <v>1480</v>
      </c>
      <c r="AD178" s="99">
        <v>0</v>
      </c>
      <c r="AE178" s="99">
        <v>0</v>
      </c>
      <c r="AF178" s="99">
        <v>0</v>
      </c>
      <c r="AG178" s="99">
        <v>2723</v>
      </c>
      <c r="AH178" s="99">
        <v>40</v>
      </c>
      <c r="AI178" s="99">
        <v>24</v>
      </c>
      <c r="AJ178" s="99">
        <v>0</v>
      </c>
      <c r="AK178" s="99">
        <v>0</v>
      </c>
      <c r="AL178" s="99">
        <v>0</v>
      </c>
      <c r="AM178" s="99">
        <v>0</v>
      </c>
      <c r="AN178" s="99">
        <v>0</v>
      </c>
      <c r="AO178" s="99">
        <v>0</v>
      </c>
      <c r="AP178" s="99">
        <v>0</v>
      </c>
      <c r="AQ178" s="99" t="s">
        <v>47</v>
      </c>
      <c r="AR178" s="99">
        <v>1763</v>
      </c>
      <c r="AS178" s="99">
        <v>4783</v>
      </c>
      <c r="AT178" s="99">
        <v>5867</v>
      </c>
      <c r="AU178" s="99" t="s">
        <v>1345</v>
      </c>
      <c r="AV178" s="99">
        <v>213</v>
      </c>
      <c r="AW178" s="99" t="s">
        <v>526</v>
      </c>
      <c r="AX178" s="99" t="s">
        <v>1838</v>
      </c>
    </row>
    <row r="179" spans="1:50" ht="18" customHeight="1" x14ac:dyDescent="0.25">
      <c r="A179" s="349" t="s">
        <v>1899</v>
      </c>
      <c r="B179" s="99" t="s">
        <v>1900</v>
      </c>
      <c r="C179" s="99" t="s">
        <v>56</v>
      </c>
      <c r="D179" s="99" t="s">
        <v>56</v>
      </c>
      <c r="E179" s="350">
        <v>43054</v>
      </c>
      <c r="F179" s="99" t="s">
        <v>37</v>
      </c>
      <c r="G179" s="590" t="s">
        <v>545</v>
      </c>
      <c r="H179" s="99">
        <v>240</v>
      </c>
      <c r="I179" s="351">
        <v>0.375</v>
      </c>
      <c r="J179" s="351">
        <v>0.70833333333333337</v>
      </c>
      <c r="K179" s="99" t="s">
        <v>1429</v>
      </c>
      <c r="L179" s="99" t="s">
        <v>1435</v>
      </c>
      <c r="M179" s="99">
        <v>0</v>
      </c>
      <c r="N179" s="99" t="s">
        <v>1844</v>
      </c>
      <c r="O179" s="99" t="s">
        <v>1524</v>
      </c>
      <c r="P179" s="99" t="s">
        <v>37</v>
      </c>
      <c r="Q179" s="99" t="s">
        <v>1429</v>
      </c>
      <c r="R179" s="99" t="s">
        <v>1901</v>
      </c>
      <c r="S179" s="99" t="s">
        <v>1444</v>
      </c>
      <c r="T179" s="99"/>
      <c r="U179" s="99"/>
      <c r="V179" s="99" t="s">
        <v>46</v>
      </c>
      <c r="W179" s="99" t="s">
        <v>32</v>
      </c>
      <c r="X179" s="99" t="s">
        <v>37</v>
      </c>
      <c r="Y179" s="99">
        <v>5000</v>
      </c>
      <c r="Z179" s="99">
        <v>1</v>
      </c>
      <c r="AA179" s="99">
        <v>580</v>
      </c>
      <c r="AB179" s="99">
        <v>0</v>
      </c>
      <c r="AC179" s="99">
        <v>1480</v>
      </c>
      <c r="AD179" s="99">
        <v>0</v>
      </c>
      <c r="AE179" s="99">
        <v>0</v>
      </c>
      <c r="AF179" s="99">
        <v>0</v>
      </c>
      <c r="AG179" s="99">
        <v>2243</v>
      </c>
      <c r="AH179" s="99">
        <v>20</v>
      </c>
      <c r="AI179" s="99">
        <v>24</v>
      </c>
      <c r="AJ179" s="99">
        <v>0</v>
      </c>
      <c r="AK179" s="99">
        <v>0</v>
      </c>
      <c r="AL179" s="99">
        <v>0</v>
      </c>
      <c r="AM179" s="99">
        <v>0</v>
      </c>
      <c r="AN179" s="99">
        <v>0</v>
      </c>
      <c r="AO179" s="99">
        <v>0</v>
      </c>
      <c r="AP179" s="99">
        <v>0</v>
      </c>
      <c r="AQ179" s="99" t="s">
        <v>576</v>
      </c>
      <c r="AR179" s="99">
        <v>1763</v>
      </c>
      <c r="AS179" s="99">
        <v>4303</v>
      </c>
      <c r="AT179" s="99">
        <v>697</v>
      </c>
      <c r="AU179" s="99" t="s">
        <v>1345</v>
      </c>
      <c r="AV179" s="99">
        <v>100</v>
      </c>
      <c r="AW179" s="99" t="s">
        <v>527</v>
      </c>
      <c r="AX179" s="99"/>
    </row>
    <row r="180" spans="1:50" ht="18" customHeight="1" x14ac:dyDescent="0.25">
      <c r="A180" s="349" t="s">
        <v>1214</v>
      </c>
      <c r="B180" s="99" t="s">
        <v>1215</v>
      </c>
      <c r="C180" s="99" t="s">
        <v>126</v>
      </c>
      <c r="D180" s="99" t="s">
        <v>126</v>
      </c>
      <c r="E180" s="350">
        <v>42639</v>
      </c>
      <c r="F180" s="99" t="s">
        <v>37</v>
      </c>
      <c r="G180" s="590" t="s">
        <v>126</v>
      </c>
      <c r="H180" s="99">
        <v>240</v>
      </c>
      <c r="I180" s="351">
        <v>0.375</v>
      </c>
      <c r="J180" s="351">
        <v>0.70833333333333337</v>
      </c>
      <c r="K180" s="99" t="s">
        <v>1429</v>
      </c>
      <c r="L180" s="99" t="s">
        <v>1435</v>
      </c>
      <c r="M180" s="352">
        <v>43344</v>
      </c>
      <c r="N180" s="99" t="s">
        <v>1446</v>
      </c>
      <c r="O180" s="99" t="s">
        <v>1603</v>
      </c>
      <c r="P180" s="99" t="s">
        <v>37</v>
      </c>
      <c r="Q180" s="99" t="s">
        <v>1429</v>
      </c>
      <c r="R180" s="99" t="s">
        <v>1815</v>
      </c>
      <c r="S180" s="99" t="s">
        <v>1444</v>
      </c>
      <c r="T180" s="99"/>
      <c r="U180" s="99"/>
      <c r="V180" s="99" t="s">
        <v>46</v>
      </c>
      <c r="W180" s="99" t="s">
        <v>32</v>
      </c>
      <c r="X180" s="99" t="s">
        <v>37</v>
      </c>
      <c r="Y180" s="99">
        <v>3585</v>
      </c>
      <c r="Z180" s="99"/>
      <c r="AA180" s="99">
        <v>580</v>
      </c>
      <c r="AB180" s="99">
        <v>0</v>
      </c>
      <c r="AC180" s="99">
        <v>1480</v>
      </c>
      <c r="AD180" s="99">
        <v>0</v>
      </c>
      <c r="AE180" s="99">
        <v>0</v>
      </c>
      <c r="AF180" s="99">
        <v>0</v>
      </c>
      <c r="AG180" s="99">
        <v>2003</v>
      </c>
      <c r="AH180" s="99">
        <v>10</v>
      </c>
      <c r="AI180" s="99">
        <v>24</v>
      </c>
      <c r="AJ180" s="99">
        <v>0</v>
      </c>
      <c r="AK180" s="99">
        <v>0</v>
      </c>
      <c r="AL180" s="99">
        <v>0</v>
      </c>
      <c r="AM180" s="99">
        <v>0</v>
      </c>
      <c r="AN180" s="99">
        <v>0</v>
      </c>
      <c r="AO180" s="99">
        <v>0</v>
      </c>
      <c r="AP180" s="99">
        <v>0</v>
      </c>
      <c r="AQ180" s="99" t="s">
        <v>576</v>
      </c>
      <c r="AR180" s="99">
        <v>1763</v>
      </c>
      <c r="AS180" s="99">
        <v>3483</v>
      </c>
      <c r="AT180" s="99">
        <v>102</v>
      </c>
      <c r="AU180" s="99" t="s">
        <v>1345</v>
      </c>
      <c r="AV180" s="99">
        <v>71.7</v>
      </c>
      <c r="AW180" s="99" t="s">
        <v>528</v>
      </c>
      <c r="AX180" s="99" t="s">
        <v>1852</v>
      </c>
    </row>
    <row r="181" spans="1:50" ht="18" customHeight="1" x14ac:dyDescent="0.25">
      <c r="A181" s="349" t="s">
        <v>1230</v>
      </c>
      <c r="B181" s="99" t="s">
        <v>641</v>
      </c>
      <c r="C181" s="99" t="s">
        <v>35</v>
      </c>
      <c r="D181" s="99" t="s">
        <v>35</v>
      </c>
      <c r="E181" s="350">
        <v>42552</v>
      </c>
      <c r="F181" s="99" t="s">
        <v>37</v>
      </c>
      <c r="G181" s="590" t="s">
        <v>66</v>
      </c>
      <c r="H181" s="99">
        <v>240</v>
      </c>
      <c r="I181" s="351">
        <v>0.375</v>
      </c>
      <c r="J181" s="351">
        <v>0.70833333333333337</v>
      </c>
      <c r="K181" s="99" t="s">
        <v>1429</v>
      </c>
      <c r="L181" s="99" t="s">
        <v>1435</v>
      </c>
      <c r="M181" s="352">
        <v>43192</v>
      </c>
      <c r="N181" s="99" t="s">
        <v>1632</v>
      </c>
      <c r="O181" s="99" t="s">
        <v>1603</v>
      </c>
      <c r="P181" s="99" t="s">
        <v>37</v>
      </c>
      <c r="Q181" s="99" t="s">
        <v>1429</v>
      </c>
      <c r="R181" s="99" t="s">
        <v>1816</v>
      </c>
      <c r="S181" s="99" t="s">
        <v>1453</v>
      </c>
      <c r="T181" s="99"/>
      <c r="U181" s="99"/>
      <c r="V181" s="99" t="s">
        <v>46</v>
      </c>
      <c r="W181" s="99" t="s">
        <v>32</v>
      </c>
      <c r="X181" s="99" t="s">
        <v>37</v>
      </c>
      <c r="Y181" s="99">
        <v>1200</v>
      </c>
      <c r="Z181" s="99">
        <v>0</v>
      </c>
      <c r="AA181" s="99">
        <v>580</v>
      </c>
      <c r="AB181" s="99">
        <v>0</v>
      </c>
      <c r="AC181" s="99">
        <v>1480</v>
      </c>
      <c r="AD181" s="99">
        <v>0</v>
      </c>
      <c r="AE181" s="99">
        <v>0</v>
      </c>
      <c r="AF181" s="99">
        <v>0</v>
      </c>
      <c r="AG181" s="99">
        <v>2003</v>
      </c>
      <c r="AH181" s="99">
        <v>10</v>
      </c>
      <c r="AI181" s="99">
        <v>24</v>
      </c>
      <c r="AJ181" s="99">
        <v>0</v>
      </c>
      <c r="AK181" s="99">
        <v>0</v>
      </c>
      <c r="AL181" s="99">
        <v>0</v>
      </c>
      <c r="AM181" s="99">
        <v>0</v>
      </c>
      <c r="AN181" s="99">
        <v>0</v>
      </c>
      <c r="AO181" s="99">
        <v>0</v>
      </c>
      <c r="AP181" s="99">
        <v>0</v>
      </c>
      <c r="AQ181" s="99" t="s">
        <v>576</v>
      </c>
      <c r="AR181" s="99">
        <v>1763</v>
      </c>
      <c r="AS181" s="99">
        <v>3483</v>
      </c>
      <c r="AT181" s="99">
        <v>-2283</v>
      </c>
      <c r="AU181" s="99" t="s">
        <v>1345</v>
      </c>
      <c r="AV181" s="99">
        <v>24</v>
      </c>
      <c r="AW181" s="99" t="s">
        <v>530</v>
      </c>
      <c r="AX181" s="99" t="s">
        <v>1062</v>
      </c>
    </row>
    <row r="182" spans="1:50" ht="18" customHeight="1" x14ac:dyDescent="0.25">
      <c r="A182" s="349" t="s">
        <v>362</v>
      </c>
      <c r="B182" s="99" t="s">
        <v>363</v>
      </c>
      <c r="C182" s="99" t="s">
        <v>56</v>
      </c>
      <c r="D182" s="99" t="s">
        <v>56</v>
      </c>
      <c r="E182" s="350">
        <v>42209</v>
      </c>
      <c r="F182" s="99" t="s">
        <v>37</v>
      </c>
      <c r="G182" s="590" t="s">
        <v>66</v>
      </c>
      <c r="H182" s="99">
        <v>240</v>
      </c>
      <c r="I182" s="351">
        <v>0.375</v>
      </c>
      <c r="J182" s="351">
        <v>0.70833333333333337</v>
      </c>
      <c r="K182" s="99" t="s">
        <v>1429</v>
      </c>
      <c r="L182" s="99" t="s">
        <v>1435</v>
      </c>
      <c r="M182" s="99">
        <v>14</v>
      </c>
      <c r="N182" s="99" t="s">
        <v>1446</v>
      </c>
      <c r="O182" s="99" t="s">
        <v>1603</v>
      </c>
      <c r="P182" s="99" t="s">
        <v>37</v>
      </c>
      <c r="Q182" s="99" t="s">
        <v>1429</v>
      </c>
      <c r="R182" s="99" t="s">
        <v>1817</v>
      </c>
      <c r="S182" s="99" t="s">
        <v>1453</v>
      </c>
      <c r="T182" s="99"/>
      <c r="U182" s="99"/>
      <c r="V182" s="99" t="s">
        <v>46</v>
      </c>
      <c r="W182" s="99" t="s">
        <v>32</v>
      </c>
      <c r="X182" s="99" t="s">
        <v>37</v>
      </c>
      <c r="Y182" s="99">
        <v>5000</v>
      </c>
      <c r="Z182" s="99">
        <v>1</v>
      </c>
      <c r="AA182" s="99">
        <v>580</v>
      </c>
      <c r="AB182" s="99">
        <v>0</v>
      </c>
      <c r="AC182" s="99">
        <v>1480</v>
      </c>
      <c r="AD182" s="99">
        <v>0</v>
      </c>
      <c r="AE182" s="99">
        <v>0</v>
      </c>
      <c r="AF182" s="99">
        <v>0</v>
      </c>
      <c r="AG182" s="99">
        <v>2003</v>
      </c>
      <c r="AH182" s="99">
        <v>10</v>
      </c>
      <c r="AI182" s="99">
        <v>24</v>
      </c>
      <c r="AJ182" s="99">
        <v>0</v>
      </c>
      <c r="AK182" s="99">
        <v>0</v>
      </c>
      <c r="AL182" s="99">
        <v>0</v>
      </c>
      <c r="AM182" s="99">
        <v>0</v>
      </c>
      <c r="AN182" s="99">
        <v>0</v>
      </c>
      <c r="AO182" s="99">
        <v>0</v>
      </c>
      <c r="AP182" s="99">
        <v>0</v>
      </c>
      <c r="AQ182" s="99" t="s">
        <v>47</v>
      </c>
      <c r="AR182" s="99">
        <v>1763</v>
      </c>
      <c r="AS182" s="99">
        <v>4063</v>
      </c>
      <c r="AT182" s="99">
        <v>937</v>
      </c>
      <c r="AU182" s="99" t="s">
        <v>1345</v>
      </c>
      <c r="AV182" s="99">
        <v>100</v>
      </c>
      <c r="AW182" s="99" t="s">
        <v>528</v>
      </c>
      <c r="AX182" s="99" t="s">
        <v>1424</v>
      </c>
    </row>
    <row r="183" spans="1:50" ht="18" customHeight="1" x14ac:dyDescent="0.25">
      <c r="A183" s="349" t="s">
        <v>605</v>
      </c>
      <c r="B183" s="99" t="s">
        <v>606</v>
      </c>
      <c r="C183" s="99" t="s">
        <v>56</v>
      </c>
      <c r="D183" s="99" t="s">
        <v>56</v>
      </c>
      <c r="E183" s="350">
        <v>42425</v>
      </c>
      <c r="F183" s="99" t="s">
        <v>37</v>
      </c>
      <c r="G183" s="590" t="s">
        <v>66</v>
      </c>
      <c r="H183" s="99">
        <v>240</v>
      </c>
      <c r="I183" s="351">
        <v>0.375</v>
      </c>
      <c r="J183" s="351">
        <v>0.70833333333333337</v>
      </c>
      <c r="K183" s="99" t="s">
        <v>1429</v>
      </c>
      <c r="L183" s="99" t="s">
        <v>1435</v>
      </c>
      <c r="M183" s="352">
        <v>43314</v>
      </c>
      <c r="N183" s="99" t="s">
        <v>1633</v>
      </c>
      <c r="O183" s="99" t="s">
        <v>1603</v>
      </c>
      <c r="P183" s="99" t="s">
        <v>37</v>
      </c>
      <c r="Q183" s="99" t="s">
        <v>1429</v>
      </c>
      <c r="R183" s="99" t="s">
        <v>1818</v>
      </c>
      <c r="S183" s="99" t="s">
        <v>1444</v>
      </c>
      <c r="T183" s="99"/>
      <c r="U183" s="99"/>
      <c r="V183" s="99" t="s">
        <v>46</v>
      </c>
      <c r="W183" s="99" t="s">
        <v>32</v>
      </c>
      <c r="X183" s="99" t="s">
        <v>37</v>
      </c>
      <c r="Y183" s="99">
        <v>5000</v>
      </c>
      <c r="Z183" s="99">
        <v>1</v>
      </c>
      <c r="AA183" s="99">
        <v>580</v>
      </c>
      <c r="AB183" s="99">
        <v>0</v>
      </c>
      <c r="AC183" s="99">
        <v>1480</v>
      </c>
      <c r="AD183" s="99">
        <v>0</v>
      </c>
      <c r="AE183" s="99">
        <v>0</v>
      </c>
      <c r="AF183" s="99">
        <v>0</v>
      </c>
      <c r="AG183" s="99">
        <v>2003</v>
      </c>
      <c r="AH183" s="99">
        <v>10</v>
      </c>
      <c r="AI183" s="99">
        <v>24</v>
      </c>
      <c r="AJ183" s="99">
        <v>0</v>
      </c>
      <c r="AK183" s="99">
        <v>0</v>
      </c>
      <c r="AL183" s="99">
        <v>0</v>
      </c>
      <c r="AM183" s="99">
        <v>0</v>
      </c>
      <c r="AN183" s="99">
        <v>0</v>
      </c>
      <c r="AO183" s="99">
        <v>0</v>
      </c>
      <c r="AP183" s="99">
        <v>0</v>
      </c>
      <c r="AQ183" s="99" t="s">
        <v>576</v>
      </c>
      <c r="AR183" s="99">
        <v>1763</v>
      </c>
      <c r="AS183" s="99">
        <v>4063</v>
      </c>
      <c r="AT183" s="99">
        <v>937</v>
      </c>
      <c r="AU183" s="99" t="s">
        <v>1345</v>
      </c>
      <c r="AV183" s="99">
        <v>100</v>
      </c>
      <c r="AW183" s="99" t="s">
        <v>528</v>
      </c>
      <c r="AX183" s="99" t="s">
        <v>1856</v>
      </c>
    </row>
    <row r="184" spans="1:50" ht="18" customHeight="1" x14ac:dyDescent="0.25">
      <c r="A184" s="349" t="s">
        <v>364</v>
      </c>
      <c r="B184" s="99" t="s">
        <v>365</v>
      </c>
      <c r="C184" s="99" t="s">
        <v>29</v>
      </c>
      <c r="D184" s="99" t="s">
        <v>56</v>
      </c>
      <c r="E184" s="350">
        <v>39995</v>
      </c>
      <c r="F184" s="99" t="s">
        <v>1429</v>
      </c>
      <c r="G184" s="590" t="s">
        <v>29</v>
      </c>
      <c r="H184" s="99">
        <v>240</v>
      </c>
      <c r="I184" s="351">
        <v>0.375</v>
      </c>
      <c r="J184" s="351">
        <v>0.70833333333333337</v>
      </c>
      <c r="K184" s="99" t="s">
        <v>1429</v>
      </c>
      <c r="L184" s="99">
        <v>0</v>
      </c>
      <c r="M184" s="99">
        <v>0</v>
      </c>
      <c r="N184" s="99"/>
      <c r="O184" s="99" t="s">
        <v>1603</v>
      </c>
      <c r="P184" s="99" t="s">
        <v>1429</v>
      </c>
      <c r="Q184" s="99" t="s">
        <v>37</v>
      </c>
      <c r="R184" s="99" t="s">
        <v>1634</v>
      </c>
      <c r="S184" s="99" t="s">
        <v>1444</v>
      </c>
      <c r="T184" s="99"/>
      <c r="U184" s="99"/>
      <c r="V184" s="99" t="s">
        <v>31</v>
      </c>
      <c r="W184" s="99" t="s">
        <v>32</v>
      </c>
      <c r="X184" s="99" t="s">
        <v>37</v>
      </c>
      <c r="Y184" s="99">
        <v>1900</v>
      </c>
      <c r="Z184" s="99">
        <v>0</v>
      </c>
      <c r="AA184" s="99">
        <v>580</v>
      </c>
      <c r="AB184" s="99">
        <v>0</v>
      </c>
      <c r="AC184" s="99">
        <v>0</v>
      </c>
      <c r="AD184" s="99">
        <v>0</v>
      </c>
      <c r="AE184" s="99">
        <v>0</v>
      </c>
      <c r="AF184" s="99">
        <v>0</v>
      </c>
      <c r="AG184" s="99">
        <v>0</v>
      </c>
      <c r="AH184" s="99">
        <v>0</v>
      </c>
      <c r="AI184" s="99">
        <v>24</v>
      </c>
      <c r="AJ184" s="99">
        <v>0</v>
      </c>
      <c r="AK184" s="99">
        <v>0</v>
      </c>
      <c r="AL184" s="99">
        <v>0</v>
      </c>
      <c r="AM184" s="99">
        <v>0</v>
      </c>
      <c r="AN184" s="99">
        <v>0</v>
      </c>
      <c r="AO184" s="99">
        <v>0</v>
      </c>
      <c r="AP184" s="99">
        <v>0</v>
      </c>
      <c r="AQ184" s="99"/>
      <c r="AR184" s="99">
        <v>0</v>
      </c>
      <c r="AS184" s="99">
        <v>0</v>
      </c>
      <c r="AT184" s="99">
        <v>1900</v>
      </c>
      <c r="AU184" s="99" t="s">
        <v>1345</v>
      </c>
      <c r="AV184" s="99">
        <v>38</v>
      </c>
      <c r="AW184" s="99" t="s">
        <v>527</v>
      </c>
      <c r="AX184" s="99" t="s">
        <v>1062</v>
      </c>
    </row>
    <row r="185" spans="1:50" ht="18" customHeight="1" x14ac:dyDescent="0.25">
      <c r="A185" s="349" t="s">
        <v>647</v>
      </c>
      <c r="B185" s="99" t="s">
        <v>648</v>
      </c>
      <c r="C185" s="99" t="s">
        <v>56</v>
      </c>
      <c r="D185" s="99" t="s">
        <v>56</v>
      </c>
      <c r="E185" s="350">
        <v>42472</v>
      </c>
      <c r="F185" s="99" t="s">
        <v>37</v>
      </c>
      <c r="G185" s="590" t="s">
        <v>544</v>
      </c>
      <c r="H185" s="99">
        <v>240</v>
      </c>
      <c r="I185" s="351">
        <v>0.375</v>
      </c>
      <c r="J185" s="351">
        <v>0.70833333333333337</v>
      </c>
      <c r="K185" s="99" t="s">
        <v>1429</v>
      </c>
      <c r="L185" s="99" t="s">
        <v>1435</v>
      </c>
      <c r="M185" s="352">
        <v>43253</v>
      </c>
      <c r="N185" s="99" t="s">
        <v>1446</v>
      </c>
      <c r="O185" s="99" t="s">
        <v>1603</v>
      </c>
      <c r="P185" s="99" t="s">
        <v>37</v>
      </c>
      <c r="Q185" s="99" t="s">
        <v>1429</v>
      </c>
      <c r="R185" s="99" t="s">
        <v>1819</v>
      </c>
      <c r="S185" s="99" t="s">
        <v>1444</v>
      </c>
      <c r="T185" s="99"/>
      <c r="U185" s="99"/>
      <c r="V185" s="99" t="s">
        <v>46</v>
      </c>
      <c r="W185" s="99" t="s">
        <v>32</v>
      </c>
      <c r="X185" s="99" t="s">
        <v>37</v>
      </c>
      <c r="Y185" s="99">
        <v>800</v>
      </c>
      <c r="Z185" s="99">
        <v>0</v>
      </c>
      <c r="AA185" s="99">
        <v>580</v>
      </c>
      <c r="AB185" s="99">
        <v>0</v>
      </c>
      <c r="AC185" s="99">
        <v>1480</v>
      </c>
      <c r="AD185" s="99">
        <v>0</v>
      </c>
      <c r="AE185" s="99">
        <v>0</v>
      </c>
      <c r="AF185" s="99">
        <v>0</v>
      </c>
      <c r="AG185" s="99">
        <v>1883</v>
      </c>
      <c r="AH185" s="99">
        <v>5</v>
      </c>
      <c r="AI185" s="99">
        <v>24</v>
      </c>
      <c r="AJ185" s="99">
        <v>0</v>
      </c>
      <c r="AK185" s="99">
        <v>0</v>
      </c>
      <c r="AL185" s="99">
        <v>0</v>
      </c>
      <c r="AM185" s="99">
        <v>0</v>
      </c>
      <c r="AN185" s="99">
        <v>0</v>
      </c>
      <c r="AO185" s="99">
        <v>0</v>
      </c>
      <c r="AP185" s="99">
        <v>0</v>
      </c>
      <c r="AQ185" s="99" t="s">
        <v>576</v>
      </c>
      <c r="AR185" s="99">
        <v>1763</v>
      </c>
      <c r="AS185" s="99">
        <v>3363</v>
      </c>
      <c r="AT185" s="99">
        <v>-2563</v>
      </c>
      <c r="AU185" s="99" t="s">
        <v>1345</v>
      </c>
      <c r="AV185" s="99">
        <v>16</v>
      </c>
      <c r="AW185" s="99" t="s">
        <v>530</v>
      </c>
      <c r="AX185" s="99" t="s">
        <v>1856</v>
      </c>
    </row>
    <row r="186" spans="1:50" ht="18" customHeight="1" x14ac:dyDescent="0.25">
      <c r="A186" s="349" t="s">
        <v>366</v>
      </c>
      <c r="B186" s="99" t="s">
        <v>367</v>
      </c>
      <c r="C186" s="99" t="s">
        <v>35</v>
      </c>
      <c r="D186" s="99" t="s">
        <v>35</v>
      </c>
      <c r="E186" s="350">
        <v>41487</v>
      </c>
      <c r="F186" s="99" t="s">
        <v>1429</v>
      </c>
      <c r="G186" s="590" t="s">
        <v>44</v>
      </c>
      <c r="H186" s="99">
        <v>0</v>
      </c>
      <c r="I186" s="351">
        <v>0.375</v>
      </c>
      <c r="J186" s="351">
        <v>0.70833333333333337</v>
      </c>
      <c r="K186" s="99" t="s">
        <v>1429</v>
      </c>
      <c r="L186" s="99" t="s">
        <v>1435</v>
      </c>
      <c r="M186" s="352">
        <v>43260</v>
      </c>
      <c r="N186" s="99" t="s">
        <v>1627</v>
      </c>
      <c r="O186" s="99" t="s">
        <v>1603</v>
      </c>
      <c r="P186" s="99" t="s">
        <v>37</v>
      </c>
      <c r="Q186" s="99" t="s">
        <v>1429</v>
      </c>
      <c r="R186" s="99" t="s">
        <v>1820</v>
      </c>
      <c r="S186" s="99"/>
      <c r="T186" s="350">
        <v>43131</v>
      </c>
      <c r="U186" s="99"/>
      <c r="V186" s="99" t="s">
        <v>46</v>
      </c>
      <c r="W186" s="99" t="s">
        <v>32</v>
      </c>
      <c r="X186" s="99" t="s">
        <v>37</v>
      </c>
      <c r="Y186" s="99">
        <v>3500</v>
      </c>
      <c r="Z186" s="99">
        <v>1</v>
      </c>
      <c r="AA186" s="99">
        <v>580</v>
      </c>
      <c r="AB186" s="99">
        <v>0</v>
      </c>
      <c r="AC186" s="99">
        <v>1480</v>
      </c>
      <c r="AD186" s="99">
        <v>0</v>
      </c>
      <c r="AE186" s="99">
        <v>0</v>
      </c>
      <c r="AF186" s="99">
        <v>0</v>
      </c>
      <c r="AG186" s="99">
        <v>2003</v>
      </c>
      <c r="AH186" s="99">
        <v>10</v>
      </c>
      <c r="AI186" s="99">
        <v>24</v>
      </c>
      <c r="AJ186" s="99">
        <v>0</v>
      </c>
      <c r="AK186" s="99">
        <v>0</v>
      </c>
      <c r="AL186" s="99">
        <v>0</v>
      </c>
      <c r="AM186" s="99">
        <v>0</v>
      </c>
      <c r="AN186" s="99">
        <v>0</v>
      </c>
      <c r="AO186" s="99">
        <v>0</v>
      </c>
      <c r="AP186" s="99">
        <v>0</v>
      </c>
      <c r="AQ186" s="99" t="s">
        <v>47</v>
      </c>
      <c r="AR186" s="99">
        <v>1763</v>
      </c>
      <c r="AS186" s="99">
        <v>4063</v>
      </c>
      <c r="AT186" s="99">
        <v>-563</v>
      </c>
      <c r="AU186" s="99" t="s">
        <v>1345</v>
      </c>
      <c r="AV186" s="99">
        <v>70</v>
      </c>
      <c r="AW186" s="99" t="s">
        <v>528</v>
      </c>
      <c r="AX186" s="99" t="s">
        <v>1866</v>
      </c>
    </row>
    <row r="187" spans="1:50" ht="18" customHeight="1" x14ac:dyDescent="0.25">
      <c r="A187" s="349" t="s">
        <v>1428</v>
      </c>
      <c r="B187" s="99" t="s">
        <v>1635</v>
      </c>
      <c r="C187" s="99" t="s">
        <v>56</v>
      </c>
      <c r="D187" s="99" t="s">
        <v>56</v>
      </c>
      <c r="E187" s="350">
        <v>42856</v>
      </c>
      <c r="F187" s="99" t="s">
        <v>1429</v>
      </c>
      <c r="G187" s="590" t="s">
        <v>66</v>
      </c>
      <c r="H187" s="99">
        <v>120</v>
      </c>
      <c r="I187" s="351">
        <v>0.33333333333333331</v>
      </c>
      <c r="J187" s="351">
        <v>0.70833333333333337</v>
      </c>
      <c r="K187" s="99" t="s">
        <v>1429</v>
      </c>
      <c r="L187" s="99" t="s">
        <v>1435</v>
      </c>
      <c r="M187" s="99" t="s">
        <v>41</v>
      </c>
      <c r="N187" s="99" t="s">
        <v>1523</v>
      </c>
      <c r="O187" s="99" t="s">
        <v>1524</v>
      </c>
      <c r="P187" s="99" t="s">
        <v>37</v>
      </c>
      <c r="Q187" s="99" t="s">
        <v>1429</v>
      </c>
      <c r="R187" s="99" t="s">
        <v>1636</v>
      </c>
      <c r="S187" s="99" t="s">
        <v>1453</v>
      </c>
      <c r="T187" s="99"/>
      <c r="U187" s="99"/>
      <c r="V187" s="99" t="s">
        <v>46</v>
      </c>
      <c r="W187" s="99" t="s">
        <v>32</v>
      </c>
      <c r="X187" s="99" t="s">
        <v>37</v>
      </c>
      <c r="Y187" s="99">
        <v>6000</v>
      </c>
      <c r="Z187" s="99">
        <v>3</v>
      </c>
      <c r="AA187" s="99">
        <v>580</v>
      </c>
      <c r="AB187" s="99">
        <v>0</v>
      </c>
      <c r="AC187" s="99">
        <v>1480</v>
      </c>
      <c r="AD187" s="99">
        <v>0</v>
      </c>
      <c r="AE187" s="99">
        <v>0</v>
      </c>
      <c r="AF187" s="99">
        <v>0</v>
      </c>
      <c r="AG187" s="99">
        <v>2003</v>
      </c>
      <c r="AH187" s="99">
        <v>10</v>
      </c>
      <c r="AI187" s="99">
        <v>24</v>
      </c>
      <c r="AJ187" s="99">
        <v>0</v>
      </c>
      <c r="AK187" s="99">
        <v>0</v>
      </c>
      <c r="AL187" s="99">
        <v>0</v>
      </c>
      <c r="AM187" s="99">
        <v>0</v>
      </c>
      <c r="AN187" s="99">
        <v>0</v>
      </c>
      <c r="AO187" s="99">
        <v>0</v>
      </c>
      <c r="AP187" s="99">
        <v>0</v>
      </c>
      <c r="AQ187" s="99" t="s">
        <v>576</v>
      </c>
      <c r="AR187" s="99">
        <v>1763</v>
      </c>
      <c r="AS187" s="99">
        <v>5223</v>
      </c>
      <c r="AT187" s="99">
        <v>777</v>
      </c>
      <c r="AU187" s="99" t="s">
        <v>1345</v>
      </c>
      <c r="AV187" s="99">
        <v>120</v>
      </c>
      <c r="AW187" s="99" t="s">
        <v>528</v>
      </c>
      <c r="AX187" s="99" t="s">
        <v>1424</v>
      </c>
    </row>
    <row r="188" spans="1:50" ht="18" customHeight="1" x14ac:dyDescent="0.25">
      <c r="A188" s="349" t="s">
        <v>368</v>
      </c>
      <c r="B188" s="99" t="s">
        <v>369</v>
      </c>
      <c r="C188" s="99" t="s">
        <v>35</v>
      </c>
      <c r="D188" s="99" t="s">
        <v>35</v>
      </c>
      <c r="E188" s="350">
        <v>41453</v>
      </c>
      <c r="F188" s="99" t="s">
        <v>37</v>
      </c>
      <c r="G188" s="590" t="s">
        <v>44</v>
      </c>
      <c r="H188" s="99">
        <v>240</v>
      </c>
      <c r="I188" s="351">
        <v>0.375</v>
      </c>
      <c r="J188" s="351">
        <v>0.70833333333333337</v>
      </c>
      <c r="K188" s="99" t="s">
        <v>1429</v>
      </c>
      <c r="L188" s="99" t="s">
        <v>1435</v>
      </c>
      <c r="M188" s="352">
        <v>43166</v>
      </c>
      <c r="N188" s="99" t="s">
        <v>1637</v>
      </c>
      <c r="O188" s="99" t="s">
        <v>1603</v>
      </c>
      <c r="P188" s="99" t="s">
        <v>37</v>
      </c>
      <c r="Q188" s="99" t="s">
        <v>1429</v>
      </c>
      <c r="R188" s="99" t="s">
        <v>1821</v>
      </c>
      <c r="S188" s="99" t="s">
        <v>1444</v>
      </c>
      <c r="T188" s="99"/>
      <c r="U188" s="99"/>
      <c r="V188" s="99" t="s">
        <v>46</v>
      </c>
      <c r="W188" s="99" t="s">
        <v>32</v>
      </c>
      <c r="X188" s="99" t="s">
        <v>37</v>
      </c>
      <c r="Y188" s="99">
        <v>4000</v>
      </c>
      <c r="Z188" s="99">
        <v>1</v>
      </c>
      <c r="AA188" s="99">
        <v>580</v>
      </c>
      <c r="AB188" s="99">
        <v>0</v>
      </c>
      <c r="AC188" s="99">
        <v>1480</v>
      </c>
      <c r="AD188" s="99">
        <v>0</v>
      </c>
      <c r="AE188" s="99">
        <v>0</v>
      </c>
      <c r="AF188" s="99">
        <v>0</v>
      </c>
      <c r="AG188" s="99">
        <v>2003</v>
      </c>
      <c r="AH188" s="99">
        <v>10</v>
      </c>
      <c r="AI188" s="99">
        <v>24</v>
      </c>
      <c r="AJ188" s="99">
        <v>0</v>
      </c>
      <c r="AK188" s="99">
        <v>0</v>
      </c>
      <c r="AL188" s="99">
        <v>0</v>
      </c>
      <c r="AM188" s="99">
        <v>0</v>
      </c>
      <c r="AN188" s="99">
        <v>0</v>
      </c>
      <c r="AO188" s="99">
        <v>0</v>
      </c>
      <c r="AP188" s="99">
        <v>0</v>
      </c>
      <c r="AQ188" s="99" t="s">
        <v>47</v>
      </c>
      <c r="AR188" s="99">
        <v>1763</v>
      </c>
      <c r="AS188" s="99">
        <v>4063</v>
      </c>
      <c r="AT188" s="99">
        <v>-63</v>
      </c>
      <c r="AU188" s="99" t="s">
        <v>1345</v>
      </c>
      <c r="AV188" s="99">
        <v>80</v>
      </c>
      <c r="AW188" s="99" t="s">
        <v>530</v>
      </c>
      <c r="AX188" s="99" t="s">
        <v>1059</v>
      </c>
    </row>
    <row r="189" spans="1:50" ht="18" customHeight="1" x14ac:dyDescent="0.25">
      <c r="A189" s="349" t="s">
        <v>370</v>
      </c>
      <c r="B189" s="99" t="s">
        <v>371</v>
      </c>
      <c r="C189" s="99" t="s">
        <v>29</v>
      </c>
      <c r="D189" s="99" t="s">
        <v>45</v>
      </c>
      <c r="E189" s="350">
        <v>40525</v>
      </c>
      <c r="F189" s="99" t="s">
        <v>37</v>
      </c>
      <c r="G189" s="590" t="s">
        <v>29</v>
      </c>
      <c r="H189" s="99">
        <v>120</v>
      </c>
      <c r="I189" s="351">
        <v>0.33333333333333331</v>
      </c>
      <c r="J189" s="351">
        <v>0.66666666666666663</v>
      </c>
      <c r="K189" s="99" t="s">
        <v>1429</v>
      </c>
      <c r="L189" s="99" t="s">
        <v>1435</v>
      </c>
      <c r="M189" s="352">
        <v>43354</v>
      </c>
      <c r="N189" s="99" t="s">
        <v>1638</v>
      </c>
      <c r="O189" s="99" t="s">
        <v>1603</v>
      </c>
      <c r="P189" s="99" t="s">
        <v>37</v>
      </c>
      <c r="Q189" s="99" t="s">
        <v>1429</v>
      </c>
      <c r="R189" s="99" t="s">
        <v>1639</v>
      </c>
      <c r="S189" s="99" t="s">
        <v>1453</v>
      </c>
      <c r="T189" s="99"/>
      <c r="U189" s="99"/>
      <c r="V189" s="99" t="s">
        <v>31</v>
      </c>
      <c r="W189" s="99" t="s">
        <v>32</v>
      </c>
      <c r="X189" s="99" t="s">
        <v>37</v>
      </c>
      <c r="Y189" s="99">
        <v>1319</v>
      </c>
      <c r="Z189" s="99">
        <v>0</v>
      </c>
      <c r="AA189" s="99">
        <v>580</v>
      </c>
      <c r="AB189" s="99">
        <v>0</v>
      </c>
      <c r="AC189" s="99">
        <v>0</v>
      </c>
      <c r="AD189" s="99">
        <v>0</v>
      </c>
      <c r="AE189" s="99">
        <v>0</v>
      </c>
      <c r="AF189" s="99">
        <v>0</v>
      </c>
      <c r="AG189" s="99">
        <v>2363</v>
      </c>
      <c r="AH189" s="99">
        <v>25</v>
      </c>
      <c r="AI189" s="99">
        <v>24</v>
      </c>
      <c r="AJ189" s="99">
        <v>0</v>
      </c>
      <c r="AK189" s="99">
        <v>0</v>
      </c>
      <c r="AL189" s="99">
        <v>0</v>
      </c>
      <c r="AM189" s="99">
        <v>0</v>
      </c>
      <c r="AN189" s="99">
        <v>0</v>
      </c>
      <c r="AO189" s="99">
        <v>0</v>
      </c>
      <c r="AP189" s="99">
        <v>0</v>
      </c>
      <c r="AQ189" s="99"/>
      <c r="AR189" s="99">
        <v>1763</v>
      </c>
      <c r="AS189" s="99">
        <v>2363</v>
      </c>
      <c r="AT189" s="99">
        <v>-1044</v>
      </c>
      <c r="AU189" s="99" t="s">
        <v>1345</v>
      </c>
      <c r="AV189" s="99">
        <v>26.38</v>
      </c>
      <c r="AW189" s="99" t="s">
        <v>530</v>
      </c>
      <c r="AX189" s="99" t="s">
        <v>1041</v>
      </c>
    </row>
    <row r="190" spans="1:50" ht="18" customHeight="1" x14ac:dyDescent="0.25">
      <c r="A190" s="349" t="s">
        <v>1412</v>
      </c>
      <c r="B190" s="99" t="s">
        <v>1413</v>
      </c>
      <c r="C190" s="99" t="s">
        <v>35</v>
      </c>
      <c r="D190" s="99" t="s">
        <v>35</v>
      </c>
      <c r="E190" s="350">
        <v>42786</v>
      </c>
      <c r="F190" s="99" t="s">
        <v>37</v>
      </c>
      <c r="G190" s="590" t="s">
        <v>545</v>
      </c>
      <c r="H190" s="99">
        <v>240</v>
      </c>
      <c r="I190" s="351">
        <v>0.375</v>
      </c>
      <c r="J190" s="351">
        <v>0.70833333333333337</v>
      </c>
      <c r="K190" s="99" t="s">
        <v>1429</v>
      </c>
      <c r="L190" s="99" t="s">
        <v>1435</v>
      </c>
      <c r="M190" s="99" t="s">
        <v>1640</v>
      </c>
      <c r="N190" s="99" t="s">
        <v>1446</v>
      </c>
      <c r="O190" s="99"/>
      <c r="P190" s="99" t="s">
        <v>37</v>
      </c>
      <c r="Q190" s="99" t="s">
        <v>1429</v>
      </c>
      <c r="R190" s="99" t="s">
        <v>1822</v>
      </c>
      <c r="S190" s="99" t="s">
        <v>1444</v>
      </c>
      <c r="T190" s="350">
        <v>43515</v>
      </c>
      <c r="U190" s="99"/>
      <c r="V190" s="99" t="s">
        <v>46</v>
      </c>
      <c r="W190" s="99" t="s">
        <v>32</v>
      </c>
      <c r="X190" s="99" t="s">
        <v>37</v>
      </c>
      <c r="Y190" s="99">
        <v>10500</v>
      </c>
      <c r="Z190" s="99">
        <v>1</v>
      </c>
      <c r="AA190" s="99">
        <v>580</v>
      </c>
      <c r="AB190" s="99">
        <v>0</v>
      </c>
      <c r="AC190" s="99">
        <v>1480</v>
      </c>
      <c r="AD190" s="99">
        <v>0</v>
      </c>
      <c r="AE190" s="99">
        <v>0</v>
      </c>
      <c r="AF190" s="99">
        <v>0</v>
      </c>
      <c r="AG190" s="99">
        <v>2243</v>
      </c>
      <c r="AH190" s="99">
        <v>20</v>
      </c>
      <c r="AI190" s="99">
        <v>24</v>
      </c>
      <c r="AJ190" s="99">
        <v>0</v>
      </c>
      <c r="AK190" s="99">
        <v>0</v>
      </c>
      <c r="AL190" s="99">
        <v>0</v>
      </c>
      <c r="AM190" s="99">
        <v>0</v>
      </c>
      <c r="AN190" s="99">
        <v>0</v>
      </c>
      <c r="AO190" s="99">
        <v>0</v>
      </c>
      <c r="AP190" s="99">
        <v>0</v>
      </c>
      <c r="AQ190" s="99" t="s">
        <v>47</v>
      </c>
      <c r="AR190" s="99">
        <v>1763</v>
      </c>
      <c r="AS190" s="99">
        <v>4303</v>
      </c>
      <c r="AT190" s="99">
        <v>6197</v>
      </c>
      <c r="AU190" s="99" t="s">
        <v>1345</v>
      </c>
      <c r="AV190" s="99">
        <v>210</v>
      </c>
      <c r="AW190" s="99" t="s">
        <v>527</v>
      </c>
      <c r="AX190" s="99" t="s">
        <v>1424</v>
      </c>
    </row>
    <row r="191" spans="1:50" ht="18" customHeight="1" x14ac:dyDescent="0.25">
      <c r="A191" s="349" t="s">
        <v>372</v>
      </c>
      <c r="B191" s="99" t="s">
        <v>373</v>
      </c>
      <c r="C191" s="99" t="s">
        <v>56</v>
      </c>
      <c r="D191" s="99" t="s">
        <v>56</v>
      </c>
      <c r="E191" s="350">
        <v>41395</v>
      </c>
      <c r="F191" s="99" t="s">
        <v>37</v>
      </c>
      <c r="G191" s="590" t="s">
        <v>44</v>
      </c>
      <c r="H191" s="99">
        <v>240</v>
      </c>
      <c r="I191" s="351">
        <v>0.375</v>
      </c>
      <c r="J191" s="351">
        <v>0.70833333333333337</v>
      </c>
      <c r="K191" s="99" t="s">
        <v>1429</v>
      </c>
      <c r="L191" s="99" t="s">
        <v>1435</v>
      </c>
      <c r="M191" s="352">
        <v>43352</v>
      </c>
      <c r="N191" s="99" t="s">
        <v>1641</v>
      </c>
      <c r="O191" s="99" t="s">
        <v>1603</v>
      </c>
      <c r="P191" s="99" t="s">
        <v>37</v>
      </c>
      <c r="Q191" s="99" t="s">
        <v>1429</v>
      </c>
      <c r="R191" s="99" t="s">
        <v>1823</v>
      </c>
      <c r="S191" s="99" t="s">
        <v>1453</v>
      </c>
      <c r="T191" s="99"/>
      <c r="U191" s="99"/>
      <c r="V191" s="99" t="s">
        <v>46</v>
      </c>
      <c r="W191" s="99" t="s">
        <v>32</v>
      </c>
      <c r="X191" s="99" t="s">
        <v>37</v>
      </c>
      <c r="Y191" s="99">
        <v>5000</v>
      </c>
      <c r="Z191" s="99">
        <v>1</v>
      </c>
      <c r="AA191" s="99">
        <v>580</v>
      </c>
      <c r="AB191" s="99">
        <v>0</v>
      </c>
      <c r="AC191" s="99">
        <v>1480</v>
      </c>
      <c r="AD191" s="99">
        <v>0</v>
      </c>
      <c r="AE191" s="99">
        <v>0</v>
      </c>
      <c r="AF191" s="99">
        <v>0</v>
      </c>
      <c r="AG191" s="99">
        <v>2003</v>
      </c>
      <c r="AH191" s="99">
        <v>10</v>
      </c>
      <c r="AI191" s="99">
        <v>24</v>
      </c>
      <c r="AJ191" s="99">
        <v>0</v>
      </c>
      <c r="AK191" s="99">
        <v>0</v>
      </c>
      <c r="AL191" s="99">
        <v>10</v>
      </c>
      <c r="AM191" s="99">
        <v>0</v>
      </c>
      <c r="AN191" s="99">
        <v>0</v>
      </c>
      <c r="AO191" s="99">
        <v>0</v>
      </c>
      <c r="AP191" s="99">
        <v>0</v>
      </c>
      <c r="AQ191" s="99" t="s">
        <v>47</v>
      </c>
      <c r="AR191" s="99">
        <v>1763</v>
      </c>
      <c r="AS191" s="99">
        <v>4063</v>
      </c>
      <c r="AT191" s="99">
        <v>937</v>
      </c>
      <c r="AU191" s="99" t="s">
        <v>1345</v>
      </c>
      <c r="AV191" s="99">
        <v>100</v>
      </c>
      <c r="AW191" s="99" t="s">
        <v>528</v>
      </c>
      <c r="AX191" s="99" t="s">
        <v>1058</v>
      </c>
    </row>
    <row r="192" spans="1:50" ht="18" customHeight="1" x14ac:dyDescent="0.25">
      <c r="A192" s="349" t="s">
        <v>374</v>
      </c>
      <c r="B192" s="99" t="s">
        <v>375</v>
      </c>
      <c r="C192" s="99" t="s">
        <v>855</v>
      </c>
      <c r="D192" s="99" t="s">
        <v>45</v>
      </c>
      <c r="E192" s="350">
        <v>41186</v>
      </c>
      <c r="F192" s="99" t="s">
        <v>37</v>
      </c>
      <c r="G192" s="590" t="s">
        <v>139</v>
      </c>
      <c r="H192" s="99">
        <v>120</v>
      </c>
      <c r="I192" s="351">
        <v>0.375</v>
      </c>
      <c r="J192" s="351">
        <v>0.70833333333333337</v>
      </c>
      <c r="K192" s="99" t="s">
        <v>1429</v>
      </c>
      <c r="L192" s="99" t="s">
        <v>1435</v>
      </c>
      <c r="M192" s="99" t="s">
        <v>1642</v>
      </c>
      <c r="N192" s="99" t="s">
        <v>1643</v>
      </c>
      <c r="O192" s="99" t="s">
        <v>1603</v>
      </c>
      <c r="P192" s="99" t="s">
        <v>37</v>
      </c>
      <c r="Q192" s="99" t="s">
        <v>1429</v>
      </c>
      <c r="R192" s="99" t="s">
        <v>1644</v>
      </c>
      <c r="S192" s="99" t="s">
        <v>1465</v>
      </c>
      <c r="T192" s="99"/>
      <c r="U192" s="99"/>
      <c r="V192" s="99" t="s">
        <v>31</v>
      </c>
      <c r="W192" s="99" t="s">
        <v>32</v>
      </c>
      <c r="X192" s="99" t="s">
        <v>37</v>
      </c>
      <c r="Y192" s="99">
        <v>10500</v>
      </c>
      <c r="Z192" s="99">
        <v>1</v>
      </c>
      <c r="AA192" s="99">
        <v>580</v>
      </c>
      <c r="AB192" s="99">
        <v>0</v>
      </c>
      <c r="AC192" s="99">
        <v>0</v>
      </c>
      <c r="AD192" s="99">
        <v>0</v>
      </c>
      <c r="AE192" s="99">
        <v>0</v>
      </c>
      <c r="AF192" s="99">
        <v>0</v>
      </c>
      <c r="AG192" s="99">
        <v>3443</v>
      </c>
      <c r="AH192" s="99">
        <v>70</v>
      </c>
      <c r="AI192" s="99">
        <v>24</v>
      </c>
      <c r="AJ192" s="99">
        <v>0</v>
      </c>
      <c r="AK192" s="99">
        <v>0</v>
      </c>
      <c r="AL192" s="99">
        <v>20</v>
      </c>
      <c r="AM192" s="99">
        <v>0</v>
      </c>
      <c r="AN192" s="99">
        <v>0</v>
      </c>
      <c r="AO192" s="99">
        <v>0</v>
      </c>
      <c r="AP192" s="99">
        <v>0</v>
      </c>
      <c r="AQ192" s="99"/>
      <c r="AR192" s="99">
        <v>1763</v>
      </c>
      <c r="AS192" s="99">
        <v>4023</v>
      </c>
      <c r="AT192" s="99">
        <v>6477</v>
      </c>
      <c r="AU192" s="99" t="s">
        <v>1345</v>
      </c>
      <c r="AV192" s="99">
        <v>210</v>
      </c>
      <c r="AW192" s="99" t="s">
        <v>527</v>
      </c>
      <c r="AX192" s="99" t="s">
        <v>1042</v>
      </c>
    </row>
    <row r="193" spans="1:50" ht="18" customHeight="1" x14ac:dyDescent="0.25">
      <c r="A193" s="349" t="s">
        <v>649</v>
      </c>
      <c r="B193" s="99" t="s">
        <v>607</v>
      </c>
      <c r="C193" s="99" t="s">
        <v>29</v>
      </c>
      <c r="D193" s="99" t="s">
        <v>45</v>
      </c>
      <c r="E193" s="350">
        <v>42401</v>
      </c>
      <c r="F193" s="99" t="s">
        <v>1429</v>
      </c>
      <c r="G193" s="590"/>
      <c r="H193" s="99">
        <v>120</v>
      </c>
      <c r="I193" s="351">
        <v>0.375</v>
      </c>
      <c r="J193" s="351">
        <v>0.66666666666666663</v>
      </c>
      <c r="K193" s="99" t="s">
        <v>1429</v>
      </c>
      <c r="L193" s="99" t="s">
        <v>1435</v>
      </c>
      <c r="M193" s="99">
        <v>0</v>
      </c>
      <c r="N193" s="99" t="s">
        <v>1645</v>
      </c>
      <c r="O193" s="99" t="s">
        <v>1603</v>
      </c>
      <c r="P193" s="99" t="s">
        <v>1429</v>
      </c>
      <c r="Q193" s="99" t="s">
        <v>1429</v>
      </c>
      <c r="R193" s="99"/>
      <c r="S193" s="99" t="s">
        <v>1444</v>
      </c>
      <c r="T193" s="350">
        <v>43100</v>
      </c>
      <c r="U193" s="99"/>
      <c r="V193" s="99" t="s">
        <v>31</v>
      </c>
      <c r="W193" s="99" t="s">
        <v>32</v>
      </c>
      <c r="X193" s="99" t="s">
        <v>1429</v>
      </c>
      <c r="Y193" s="99">
        <v>1600</v>
      </c>
      <c r="Z193" s="99"/>
      <c r="AA193" s="99">
        <v>580</v>
      </c>
      <c r="AB193" s="99">
        <v>0</v>
      </c>
      <c r="AC193" s="99">
        <v>0</v>
      </c>
      <c r="AD193" s="99">
        <v>0</v>
      </c>
      <c r="AE193" s="99">
        <v>0</v>
      </c>
      <c r="AF193" s="99">
        <v>0</v>
      </c>
      <c r="AG193" s="99">
        <v>1811</v>
      </c>
      <c r="AH193" s="99">
        <v>2</v>
      </c>
      <c r="AI193" s="99">
        <v>24</v>
      </c>
      <c r="AJ193" s="99">
        <v>0</v>
      </c>
      <c r="AK193" s="99">
        <v>0</v>
      </c>
      <c r="AL193" s="99">
        <v>0</v>
      </c>
      <c r="AM193" s="99">
        <v>0</v>
      </c>
      <c r="AN193" s="99">
        <v>0</v>
      </c>
      <c r="AO193" s="99">
        <v>0</v>
      </c>
      <c r="AP193" s="99">
        <v>0</v>
      </c>
      <c r="AQ193" s="99"/>
      <c r="AR193" s="99">
        <v>1763</v>
      </c>
      <c r="AS193" s="99">
        <v>1811</v>
      </c>
      <c r="AT193" s="99">
        <v>-211</v>
      </c>
      <c r="AU193" s="99" t="s">
        <v>1345</v>
      </c>
      <c r="AV193" s="99">
        <v>32</v>
      </c>
      <c r="AW193" s="99" t="s">
        <v>530</v>
      </c>
      <c r="AX193" s="99" t="s">
        <v>1042</v>
      </c>
    </row>
    <row r="194" spans="1:50" ht="18" customHeight="1" x14ac:dyDescent="0.25">
      <c r="A194" s="349" t="s">
        <v>376</v>
      </c>
      <c r="B194" s="99" t="s">
        <v>377</v>
      </c>
      <c r="C194" s="99" t="s">
        <v>56</v>
      </c>
      <c r="D194" s="99" t="s">
        <v>56</v>
      </c>
      <c r="E194" s="350">
        <v>42370</v>
      </c>
      <c r="F194" s="99" t="s">
        <v>1429</v>
      </c>
      <c r="G194" s="590"/>
      <c r="H194" s="99">
        <v>120</v>
      </c>
      <c r="I194" s="351">
        <v>0.375</v>
      </c>
      <c r="J194" s="351">
        <v>0.70833333333333337</v>
      </c>
      <c r="K194" s="99" t="s">
        <v>1429</v>
      </c>
      <c r="L194" s="99" t="s">
        <v>1435</v>
      </c>
      <c r="M194" s="352">
        <v>43175</v>
      </c>
      <c r="N194" s="99" t="s">
        <v>1646</v>
      </c>
      <c r="O194" s="99" t="s">
        <v>1603</v>
      </c>
      <c r="P194" s="99" t="s">
        <v>37</v>
      </c>
      <c r="Q194" s="99" t="s">
        <v>1429</v>
      </c>
      <c r="R194" s="99"/>
      <c r="S194" s="99" t="s">
        <v>1444</v>
      </c>
      <c r="T194" s="350">
        <v>43100</v>
      </c>
      <c r="U194" s="99"/>
      <c r="V194" s="99" t="s">
        <v>31</v>
      </c>
      <c r="W194" s="99" t="s">
        <v>32</v>
      </c>
      <c r="X194" s="99" t="s">
        <v>37</v>
      </c>
      <c r="Y194" s="99">
        <v>4000</v>
      </c>
      <c r="Z194" s="99">
        <v>1</v>
      </c>
      <c r="AA194" s="99">
        <v>580</v>
      </c>
      <c r="AB194" s="99">
        <v>0</v>
      </c>
      <c r="AC194" s="99">
        <v>0</v>
      </c>
      <c r="AD194" s="99">
        <v>0</v>
      </c>
      <c r="AE194" s="99">
        <v>0</v>
      </c>
      <c r="AF194" s="99">
        <v>0</v>
      </c>
      <c r="AG194" s="99">
        <v>2363</v>
      </c>
      <c r="AH194" s="99">
        <v>25</v>
      </c>
      <c r="AI194" s="99">
        <v>24</v>
      </c>
      <c r="AJ194" s="99">
        <v>0</v>
      </c>
      <c r="AK194" s="99">
        <v>0</v>
      </c>
      <c r="AL194" s="99">
        <v>0</v>
      </c>
      <c r="AM194" s="99">
        <v>0</v>
      </c>
      <c r="AN194" s="99">
        <v>0</v>
      </c>
      <c r="AO194" s="99">
        <v>0</v>
      </c>
      <c r="AP194" s="99">
        <v>0</v>
      </c>
      <c r="AQ194" s="99"/>
      <c r="AR194" s="99">
        <v>1763</v>
      </c>
      <c r="AS194" s="99">
        <v>2943</v>
      </c>
      <c r="AT194" s="99">
        <v>1057</v>
      </c>
      <c r="AU194" s="99" t="s">
        <v>1345</v>
      </c>
      <c r="AV194" s="99">
        <v>80</v>
      </c>
      <c r="AW194" s="99" t="s">
        <v>527</v>
      </c>
      <c r="AX194" s="99" t="s">
        <v>1049</v>
      </c>
    </row>
    <row r="195" spans="1:50" ht="18" customHeight="1" x14ac:dyDescent="0.25">
      <c r="A195" s="349" t="s">
        <v>378</v>
      </c>
      <c r="B195" s="99" t="s">
        <v>379</v>
      </c>
      <c r="C195" s="99" t="s">
        <v>35</v>
      </c>
      <c r="D195" s="99" t="s">
        <v>35</v>
      </c>
      <c r="E195" s="350">
        <v>41821</v>
      </c>
      <c r="F195" s="99" t="s">
        <v>1429</v>
      </c>
      <c r="G195" s="590" t="s">
        <v>40</v>
      </c>
      <c r="H195" s="99">
        <v>240</v>
      </c>
      <c r="I195" s="351">
        <v>0.375</v>
      </c>
      <c r="J195" s="351">
        <v>0.70833333333333337</v>
      </c>
      <c r="K195" s="99" t="s">
        <v>1429</v>
      </c>
      <c r="L195" s="99" t="s">
        <v>1435</v>
      </c>
      <c r="M195" s="99" t="s">
        <v>1647</v>
      </c>
      <c r="N195" s="99" t="s">
        <v>1648</v>
      </c>
      <c r="O195" s="99" t="s">
        <v>1603</v>
      </c>
      <c r="P195" s="99" t="s">
        <v>1429</v>
      </c>
      <c r="Q195" s="99" t="s">
        <v>1429</v>
      </c>
      <c r="R195" s="99" t="s">
        <v>1649</v>
      </c>
      <c r="S195" s="99" t="s">
        <v>1453</v>
      </c>
      <c r="T195" s="99"/>
      <c r="U195" s="99"/>
      <c r="V195" s="99" t="s">
        <v>31</v>
      </c>
      <c r="W195" s="99" t="s">
        <v>32</v>
      </c>
      <c r="X195" s="99" t="s">
        <v>37</v>
      </c>
      <c r="Y195" s="99">
        <v>4300</v>
      </c>
      <c r="Z195" s="99">
        <v>0</v>
      </c>
      <c r="AA195" s="99">
        <v>580</v>
      </c>
      <c r="AB195" s="99">
        <v>0</v>
      </c>
      <c r="AC195" s="99">
        <v>0</v>
      </c>
      <c r="AD195" s="99">
        <v>0</v>
      </c>
      <c r="AE195" s="99">
        <v>0</v>
      </c>
      <c r="AF195" s="99">
        <v>0</v>
      </c>
      <c r="AG195" s="99">
        <v>2483</v>
      </c>
      <c r="AH195" s="99">
        <v>30</v>
      </c>
      <c r="AI195" s="99">
        <v>24</v>
      </c>
      <c r="AJ195" s="99">
        <v>0</v>
      </c>
      <c r="AK195" s="99">
        <v>0</v>
      </c>
      <c r="AL195" s="99">
        <v>0</v>
      </c>
      <c r="AM195" s="99">
        <v>0</v>
      </c>
      <c r="AN195" s="99">
        <v>0</v>
      </c>
      <c r="AO195" s="99">
        <v>0</v>
      </c>
      <c r="AP195" s="99">
        <v>0</v>
      </c>
      <c r="AQ195" s="99"/>
      <c r="AR195" s="99">
        <v>1763</v>
      </c>
      <c r="AS195" s="99">
        <v>2483</v>
      </c>
      <c r="AT195" s="99">
        <v>1817</v>
      </c>
      <c r="AU195" s="99" t="s">
        <v>1345</v>
      </c>
      <c r="AV195" s="99">
        <v>86</v>
      </c>
      <c r="AW195" s="99" t="s">
        <v>527</v>
      </c>
      <c r="AX195" s="99" t="s">
        <v>1042</v>
      </c>
    </row>
    <row r="196" spans="1:50" ht="18" customHeight="1" x14ac:dyDescent="0.25">
      <c r="A196" s="349" t="s">
        <v>380</v>
      </c>
      <c r="B196" s="99" t="s">
        <v>381</v>
      </c>
      <c r="C196" s="99" t="s">
        <v>35</v>
      </c>
      <c r="D196" s="99" t="s">
        <v>35</v>
      </c>
      <c r="E196" s="350">
        <v>40940</v>
      </c>
      <c r="F196" s="99" t="s">
        <v>37</v>
      </c>
      <c r="G196" s="590" t="s">
        <v>44</v>
      </c>
      <c r="H196" s="99">
        <v>120</v>
      </c>
      <c r="I196" s="351">
        <v>0.375</v>
      </c>
      <c r="J196" s="351">
        <v>0.70833333333333337</v>
      </c>
      <c r="K196" s="99" t="s">
        <v>1429</v>
      </c>
      <c r="L196" s="99" t="s">
        <v>1435</v>
      </c>
      <c r="M196" s="352">
        <v>43225</v>
      </c>
      <c r="N196" s="99" t="s">
        <v>1650</v>
      </c>
      <c r="O196" s="99"/>
      <c r="P196" s="99" t="s">
        <v>37</v>
      </c>
      <c r="Q196" s="99" t="s">
        <v>1429</v>
      </c>
      <c r="R196" s="99" t="s">
        <v>1824</v>
      </c>
      <c r="S196" s="99" t="s">
        <v>1444</v>
      </c>
      <c r="T196" s="99"/>
      <c r="U196" s="99"/>
      <c r="V196" s="99" t="s">
        <v>46</v>
      </c>
      <c r="W196" s="99" t="s">
        <v>32</v>
      </c>
      <c r="X196" s="99" t="s">
        <v>37</v>
      </c>
      <c r="Y196" s="99">
        <v>5000</v>
      </c>
      <c r="Z196" s="99">
        <v>1</v>
      </c>
      <c r="AA196" s="99">
        <v>580</v>
      </c>
      <c r="AB196" s="99">
        <v>0</v>
      </c>
      <c r="AC196" s="99">
        <v>1480</v>
      </c>
      <c r="AD196" s="99">
        <v>0</v>
      </c>
      <c r="AE196" s="99">
        <v>0</v>
      </c>
      <c r="AF196" s="99">
        <v>0</v>
      </c>
      <c r="AG196" s="99">
        <v>2003</v>
      </c>
      <c r="AH196" s="99">
        <v>10</v>
      </c>
      <c r="AI196" s="99">
        <v>24</v>
      </c>
      <c r="AJ196" s="99">
        <v>0</v>
      </c>
      <c r="AK196" s="99">
        <v>0</v>
      </c>
      <c r="AL196" s="99">
        <v>10</v>
      </c>
      <c r="AM196" s="99">
        <v>0</v>
      </c>
      <c r="AN196" s="99">
        <v>0</v>
      </c>
      <c r="AO196" s="99">
        <v>0</v>
      </c>
      <c r="AP196" s="99">
        <v>0</v>
      </c>
      <c r="AQ196" s="99" t="s">
        <v>47</v>
      </c>
      <c r="AR196" s="99">
        <v>1763</v>
      </c>
      <c r="AS196" s="99">
        <v>4063</v>
      </c>
      <c r="AT196" s="99">
        <v>937</v>
      </c>
      <c r="AU196" s="99" t="s">
        <v>1345</v>
      </c>
      <c r="AV196" s="99">
        <v>100</v>
      </c>
      <c r="AW196" s="99" t="s">
        <v>528</v>
      </c>
      <c r="AX196" s="99" t="s">
        <v>1858</v>
      </c>
    </row>
    <row r="197" spans="1:50" ht="18" customHeight="1" x14ac:dyDescent="0.25">
      <c r="A197" s="349" t="s">
        <v>382</v>
      </c>
      <c r="B197" s="350">
        <v>39539</v>
      </c>
      <c r="C197" s="99" t="s">
        <v>40</v>
      </c>
      <c r="D197" s="99" t="s">
        <v>35</v>
      </c>
      <c r="E197" s="350">
        <v>39569</v>
      </c>
      <c r="F197" s="99" t="s">
        <v>1429</v>
      </c>
      <c r="G197" s="590" t="s">
        <v>40</v>
      </c>
      <c r="H197" s="99">
        <v>0</v>
      </c>
      <c r="I197" s="99"/>
      <c r="J197" s="99"/>
      <c r="K197" s="99" t="s">
        <v>1429</v>
      </c>
      <c r="L197" s="99">
        <v>0</v>
      </c>
      <c r="M197" s="99">
        <v>0</v>
      </c>
      <c r="N197" s="99"/>
      <c r="O197" s="99"/>
      <c r="P197" s="99" t="s">
        <v>37</v>
      </c>
      <c r="Q197" s="99" t="s">
        <v>1429</v>
      </c>
      <c r="R197" s="99"/>
      <c r="S197" s="99"/>
      <c r="T197" s="99"/>
      <c r="U197" s="99"/>
      <c r="V197" s="99" t="s">
        <v>31</v>
      </c>
      <c r="W197" s="99" t="s">
        <v>32</v>
      </c>
      <c r="X197" s="99" t="s">
        <v>37</v>
      </c>
      <c r="Y197" s="99">
        <v>1800</v>
      </c>
      <c r="Z197" s="99">
        <v>0</v>
      </c>
      <c r="AA197" s="99">
        <v>580</v>
      </c>
      <c r="AB197" s="99">
        <v>0</v>
      </c>
      <c r="AC197" s="99">
        <v>0</v>
      </c>
      <c r="AD197" s="99">
        <v>0</v>
      </c>
      <c r="AE197" s="99">
        <v>0</v>
      </c>
      <c r="AF197" s="99">
        <v>0</v>
      </c>
      <c r="AG197" s="99">
        <v>1907</v>
      </c>
      <c r="AH197" s="99">
        <v>6</v>
      </c>
      <c r="AI197" s="99">
        <v>24</v>
      </c>
      <c r="AJ197" s="99">
        <v>0</v>
      </c>
      <c r="AK197" s="99">
        <v>0</v>
      </c>
      <c r="AL197" s="99">
        <v>0</v>
      </c>
      <c r="AM197" s="99">
        <v>0</v>
      </c>
      <c r="AN197" s="99">
        <v>0</v>
      </c>
      <c r="AO197" s="99">
        <v>0</v>
      </c>
      <c r="AP197" s="99">
        <v>0</v>
      </c>
      <c r="AQ197" s="99"/>
      <c r="AR197" s="99">
        <v>1763</v>
      </c>
      <c r="AS197" s="99">
        <v>1907</v>
      </c>
      <c r="AT197" s="99">
        <v>-107</v>
      </c>
      <c r="AU197" s="99" t="s">
        <v>1345</v>
      </c>
      <c r="AV197" s="99">
        <v>36</v>
      </c>
      <c r="AW197" s="99" t="s">
        <v>530</v>
      </c>
      <c r="AX197" s="99" t="s">
        <v>1044</v>
      </c>
    </row>
    <row r="198" spans="1:50" ht="18" customHeight="1" x14ac:dyDescent="0.25">
      <c r="A198" s="349" t="s">
        <v>383</v>
      </c>
      <c r="B198" s="99" t="s">
        <v>384</v>
      </c>
      <c r="C198" s="99" t="s">
        <v>52</v>
      </c>
      <c r="D198" s="99" t="s">
        <v>56</v>
      </c>
      <c r="E198" s="350">
        <v>41005</v>
      </c>
      <c r="F198" s="99" t="s">
        <v>1429</v>
      </c>
      <c r="G198" s="590" t="s">
        <v>52</v>
      </c>
      <c r="H198" s="99">
        <v>0</v>
      </c>
      <c r="I198" s="99"/>
      <c r="J198" s="99"/>
      <c r="K198" s="99" t="s">
        <v>1429</v>
      </c>
      <c r="L198" s="99">
        <v>0</v>
      </c>
      <c r="M198" s="99">
        <v>0</v>
      </c>
      <c r="N198" s="99"/>
      <c r="O198" s="99"/>
      <c r="P198" s="99" t="s">
        <v>37</v>
      </c>
      <c r="Q198" s="99" t="s">
        <v>1429</v>
      </c>
      <c r="R198" s="99"/>
      <c r="S198" s="99" t="s">
        <v>1496</v>
      </c>
      <c r="T198" s="99"/>
      <c r="U198" s="99"/>
      <c r="V198" s="99" t="s">
        <v>307</v>
      </c>
      <c r="W198" s="99" t="s">
        <v>32</v>
      </c>
      <c r="X198" s="99" t="s">
        <v>37</v>
      </c>
      <c r="Y198" s="99">
        <v>0</v>
      </c>
      <c r="Z198" s="99">
        <v>0</v>
      </c>
      <c r="AA198" s="99">
        <v>580</v>
      </c>
      <c r="AB198" s="99">
        <v>0</v>
      </c>
      <c r="AC198" s="99">
        <v>0</v>
      </c>
      <c r="AD198" s="99">
        <v>0</v>
      </c>
      <c r="AE198" s="99">
        <v>0</v>
      </c>
      <c r="AF198" s="99">
        <v>0</v>
      </c>
      <c r="AG198" s="99">
        <v>0</v>
      </c>
      <c r="AH198" s="99">
        <v>0</v>
      </c>
      <c r="AI198" s="99">
        <v>24</v>
      </c>
      <c r="AJ198" s="99">
        <v>0</v>
      </c>
      <c r="AK198" s="99">
        <v>0</v>
      </c>
      <c r="AL198" s="99">
        <v>0</v>
      </c>
      <c r="AM198" s="99">
        <v>0</v>
      </c>
      <c r="AN198" s="99">
        <v>0</v>
      </c>
      <c r="AO198" s="99">
        <v>0</v>
      </c>
      <c r="AP198" s="99">
        <v>0</v>
      </c>
      <c r="AQ198" s="99"/>
      <c r="AR198" s="99">
        <v>0</v>
      </c>
      <c r="AS198" s="99">
        <v>0</v>
      </c>
      <c r="AT198" s="99">
        <v>0</v>
      </c>
      <c r="AU198" s="99" t="s">
        <v>1345</v>
      </c>
      <c r="AV198" s="99">
        <v>0</v>
      </c>
      <c r="AW198" s="99" t="s">
        <v>683</v>
      </c>
      <c r="AX198" s="99" t="s">
        <v>1384</v>
      </c>
    </row>
    <row r="199" spans="1:50" ht="18" customHeight="1" x14ac:dyDescent="0.25">
      <c r="A199" s="349" t="s">
        <v>385</v>
      </c>
      <c r="B199" s="99" t="s">
        <v>386</v>
      </c>
      <c r="C199" s="99" t="s">
        <v>30</v>
      </c>
      <c r="D199" s="99" t="s">
        <v>30</v>
      </c>
      <c r="E199" s="350">
        <v>42217</v>
      </c>
      <c r="F199" s="99" t="s">
        <v>1429</v>
      </c>
      <c r="G199" s="590" t="s">
        <v>66</v>
      </c>
      <c r="H199" s="99">
        <v>480</v>
      </c>
      <c r="I199" s="351">
        <v>0.375</v>
      </c>
      <c r="J199" s="351">
        <v>0.70833333333333337</v>
      </c>
      <c r="K199" s="99" t="s">
        <v>1429</v>
      </c>
      <c r="L199" s="99">
        <v>0</v>
      </c>
      <c r="M199" s="99">
        <v>5</v>
      </c>
      <c r="N199" s="99" t="s">
        <v>1627</v>
      </c>
      <c r="O199" s="99" t="s">
        <v>1651</v>
      </c>
      <c r="P199" s="99" t="s">
        <v>1429</v>
      </c>
      <c r="Q199" s="99" t="s">
        <v>1429</v>
      </c>
      <c r="R199" s="99" t="s">
        <v>1825</v>
      </c>
      <c r="S199" s="99" t="s">
        <v>1652</v>
      </c>
      <c r="T199" s="350">
        <v>43982</v>
      </c>
      <c r="U199" s="99"/>
      <c r="V199" s="99" t="s">
        <v>46</v>
      </c>
      <c r="W199" s="99" t="s">
        <v>32</v>
      </c>
      <c r="X199" s="99" t="s">
        <v>37</v>
      </c>
      <c r="Y199" s="99">
        <v>4200</v>
      </c>
      <c r="Z199" s="99"/>
      <c r="AA199" s="99">
        <v>580</v>
      </c>
      <c r="AB199" s="99">
        <v>0</v>
      </c>
      <c r="AC199" s="99">
        <v>1480</v>
      </c>
      <c r="AD199" s="99">
        <v>0</v>
      </c>
      <c r="AE199" s="99">
        <v>0</v>
      </c>
      <c r="AF199" s="99">
        <v>0</v>
      </c>
      <c r="AG199" s="99">
        <v>48</v>
      </c>
      <c r="AH199" s="99">
        <v>2</v>
      </c>
      <c r="AI199" s="99">
        <v>24</v>
      </c>
      <c r="AJ199" s="99">
        <v>0</v>
      </c>
      <c r="AK199" s="99">
        <v>0</v>
      </c>
      <c r="AL199" s="99">
        <v>0</v>
      </c>
      <c r="AM199" s="99">
        <v>0</v>
      </c>
      <c r="AN199" s="99">
        <v>0</v>
      </c>
      <c r="AO199" s="99">
        <v>0</v>
      </c>
      <c r="AP199" s="99">
        <v>0</v>
      </c>
      <c r="AQ199" s="99"/>
      <c r="AR199" s="99">
        <v>0</v>
      </c>
      <c r="AS199" s="99">
        <v>1528</v>
      </c>
      <c r="AT199" s="99">
        <v>2672</v>
      </c>
      <c r="AU199" s="99" t="s">
        <v>1345</v>
      </c>
      <c r="AV199" s="99">
        <v>84</v>
      </c>
      <c r="AW199" s="99" t="s">
        <v>527</v>
      </c>
      <c r="AX199" s="99" t="s">
        <v>1854</v>
      </c>
    </row>
    <row r="200" spans="1:50" ht="18" customHeight="1" x14ac:dyDescent="0.25">
      <c r="A200" s="349" t="s">
        <v>387</v>
      </c>
      <c r="B200" s="99" t="s">
        <v>388</v>
      </c>
      <c r="C200" s="99" t="s">
        <v>30</v>
      </c>
      <c r="D200" s="99" t="s">
        <v>30</v>
      </c>
      <c r="E200" s="350">
        <v>41276</v>
      </c>
      <c r="F200" s="99" t="s">
        <v>37</v>
      </c>
      <c r="G200" s="590" t="s">
        <v>44</v>
      </c>
      <c r="H200" s="99">
        <v>240</v>
      </c>
      <c r="I200" s="351">
        <v>0.375</v>
      </c>
      <c r="J200" s="351">
        <v>0.70833333333333337</v>
      </c>
      <c r="K200" s="99" t="s">
        <v>1429</v>
      </c>
      <c r="L200" s="99" t="s">
        <v>1435</v>
      </c>
      <c r="M200" s="352">
        <v>43258</v>
      </c>
      <c r="N200" s="99" t="s">
        <v>1653</v>
      </c>
      <c r="O200" s="99" t="s">
        <v>1603</v>
      </c>
      <c r="P200" s="99" t="s">
        <v>37</v>
      </c>
      <c r="Q200" s="99" t="s">
        <v>1429</v>
      </c>
      <c r="R200" s="99" t="s">
        <v>1654</v>
      </c>
      <c r="S200" s="99" t="s">
        <v>1453</v>
      </c>
      <c r="T200" s="99"/>
      <c r="U200" s="99"/>
      <c r="V200" s="99" t="s">
        <v>46</v>
      </c>
      <c r="W200" s="99" t="s">
        <v>32</v>
      </c>
      <c r="X200" s="99" t="s">
        <v>37</v>
      </c>
      <c r="Y200" s="99">
        <v>5000</v>
      </c>
      <c r="Z200" s="99">
        <v>1</v>
      </c>
      <c r="AA200" s="99">
        <v>580</v>
      </c>
      <c r="AB200" s="99">
        <v>0</v>
      </c>
      <c r="AC200" s="99">
        <v>1480</v>
      </c>
      <c r="AD200" s="99">
        <v>0</v>
      </c>
      <c r="AE200" s="99">
        <v>0</v>
      </c>
      <c r="AF200" s="99">
        <v>0</v>
      </c>
      <c r="AG200" s="99">
        <v>1883</v>
      </c>
      <c r="AH200" s="99">
        <v>5</v>
      </c>
      <c r="AI200" s="99">
        <v>24</v>
      </c>
      <c r="AJ200" s="99">
        <v>0</v>
      </c>
      <c r="AK200" s="99">
        <v>0</v>
      </c>
      <c r="AL200" s="99">
        <v>5</v>
      </c>
      <c r="AM200" s="99">
        <v>0</v>
      </c>
      <c r="AN200" s="99">
        <v>0</v>
      </c>
      <c r="AO200" s="99">
        <v>0</v>
      </c>
      <c r="AP200" s="99">
        <v>0</v>
      </c>
      <c r="AQ200" s="99" t="s">
        <v>47</v>
      </c>
      <c r="AR200" s="99">
        <v>1763</v>
      </c>
      <c r="AS200" s="99">
        <v>3943</v>
      </c>
      <c r="AT200" s="99">
        <v>1057</v>
      </c>
      <c r="AU200" s="99" t="s">
        <v>1345</v>
      </c>
      <c r="AV200" s="99">
        <v>100</v>
      </c>
      <c r="AW200" s="99" t="s">
        <v>527</v>
      </c>
      <c r="AX200" s="99" t="s">
        <v>1861</v>
      </c>
    </row>
    <row r="201" spans="1:50" ht="18" customHeight="1" x14ac:dyDescent="0.25">
      <c r="A201" s="349" t="s">
        <v>389</v>
      </c>
      <c r="B201" s="99" t="s">
        <v>390</v>
      </c>
      <c r="C201" s="99" t="s">
        <v>35</v>
      </c>
      <c r="D201" s="99" t="s">
        <v>35</v>
      </c>
      <c r="E201" s="350">
        <v>41052</v>
      </c>
      <c r="F201" s="99" t="s">
        <v>37</v>
      </c>
      <c r="G201" s="590" t="s">
        <v>44</v>
      </c>
      <c r="H201" s="99">
        <v>120</v>
      </c>
      <c r="I201" s="351">
        <v>0.375</v>
      </c>
      <c r="J201" s="351">
        <v>0.70833333333333337</v>
      </c>
      <c r="K201" s="99" t="s">
        <v>1429</v>
      </c>
      <c r="L201" s="99" t="s">
        <v>1435</v>
      </c>
      <c r="M201" s="352">
        <v>43136</v>
      </c>
      <c r="N201" s="99" t="s">
        <v>1627</v>
      </c>
      <c r="O201" s="99" t="s">
        <v>1603</v>
      </c>
      <c r="P201" s="99" t="s">
        <v>37</v>
      </c>
      <c r="Q201" s="99" t="s">
        <v>1429</v>
      </c>
      <c r="R201" s="99" t="s">
        <v>1667</v>
      </c>
      <c r="S201" s="99" t="s">
        <v>1444</v>
      </c>
      <c r="T201" s="99"/>
      <c r="U201" s="99"/>
      <c r="V201" s="99" t="s">
        <v>46</v>
      </c>
      <c r="W201" s="99" t="s">
        <v>32</v>
      </c>
      <c r="X201" s="99" t="s">
        <v>37</v>
      </c>
      <c r="Y201" s="99">
        <v>5237</v>
      </c>
      <c r="Z201" s="99">
        <v>1</v>
      </c>
      <c r="AA201" s="99">
        <v>580</v>
      </c>
      <c r="AB201" s="99">
        <v>0</v>
      </c>
      <c r="AC201" s="99">
        <v>1480</v>
      </c>
      <c r="AD201" s="99">
        <v>0</v>
      </c>
      <c r="AE201" s="99">
        <v>0</v>
      </c>
      <c r="AF201" s="99">
        <v>0</v>
      </c>
      <c r="AG201" s="99">
        <v>2003</v>
      </c>
      <c r="AH201" s="99">
        <v>10</v>
      </c>
      <c r="AI201" s="99">
        <v>24</v>
      </c>
      <c r="AJ201" s="99">
        <v>0</v>
      </c>
      <c r="AK201" s="99">
        <v>0</v>
      </c>
      <c r="AL201" s="99">
        <v>10</v>
      </c>
      <c r="AM201" s="99">
        <v>0</v>
      </c>
      <c r="AN201" s="99">
        <v>0</v>
      </c>
      <c r="AO201" s="99">
        <v>0</v>
      </c>
      <c r="AP201" s="99">
        <v>0</v>
      </c>
      <c r="AQ201" s="99" t="s">
        <v>47</v>
      </c>
      <c r="AR201" s="99">
        <v>1763</v>
      </c>
      <c r="AS201" s="99">
        <v>4063</v>
      </c>
      <c r="AT201" s="99">
        <v>1174</v>
      </c>
      <c r="AU201" s="99" t="s">
        <v>1345</v>
      </c>
      <c r="AV201" s="99">
        <v>104.74</v>
      </c>
      <c r="AW201" s="99" t="s">
        <v>527</v>
      </c>
      <c r="AX201" s="99" t="s">
        <v>1861</v>
      </c>
    </row>
    <row r="202" spans="1:50" ht="18" customHeight="1" x14ac:dyDescent="0.25">
      <c r="A202" s="349" t="s">
        <v>391</v>
      </c>
      <c r="B202" s="99" t="s">
        <v>392</v>
      </c>
      <c r="C202" s="99" t="s">
        <v>40</v>
      </c>
      <c r="D202" s="99" t="s">
        <v>35</v>
      </c>
      <c r="E202" s="350">
        <v>39871</v>
      </c>
      <c r="F202" s="99" t="s">
        <v>1429</v>
      </c>
      <c r="G202" s="590" t="s">
        <v>40</v>
      </c>
      <c r="H202" s="99">
        <v>0</v>
      </c>
      <c r="I202" s="99"/>
      <c r="J202" s="99"/>
      <c r="K202" s="99" t="s">
        <v>1429</v>
      </c>
      <c r="L202" s="99">
        <v>99</v>
      </c>
      <c r="M202" s="99">
        <v>0</v>
      </c>
      <c r="N202" s="99"/>
      <c r="O202" s="99"/>
      <c r="P202" s="99" t="s">
        <v>37</v>
      </c>
      <c r="Q202" s="99" t="s">
        <v>1429</v>
      </c>
      <c r="R202" s="99"/>
      <c r="S202" s="99" t="s">
        <v>1453</v>
      </c>
      <c r="T202" s="99"/>
      <c r="U202" s="99"/>
      <c r="V202" s="99" t="s">
        <v>31</v>
      </c>
      <c r="W202" s="99" t="s">
        <v>32</v>
      </c>
      <c r="X202" s="99" t="s">
        <v>37</v>
      </c>
      <c r="Y202" s="99">
        <v>890</v>
      </c>
      <c r="Z202" s="99">
        <v>0</v>
      </c>
      <c r="AA202" s="99">
        <v>580</v>
      </c>
      <c r="AB202" s="99">
        <v>0</v>
      </c>
      <c r="AC202" s="99">
        <v>0</v>
      </c>
      <c r="AD202" s="99">
        <v>0</v>
      </c>
      <c r="AE202" s="99">
        <v>0</v>
      </c>
      <c r="AF202" s="99">
        <v>0</v>
      </c>
      <c r="AG202" s="99">
        <v>2003</v>
      </c>
      <c r="AH202" s="99">
        <v>10</v>
      </c>
      <c r="AI202" s="99">
        <v>24</v>
      </c>
      <c r="AJ202" s="99">
        <v>0</v>
      </c>
      <c r="AK202" s="99">
        <v>0</v>
      </c>
      <c r="AL202" s="99">
        <v>0</v>
      </c>
      <c r="AM202" s="99">
        <v>0</v>
      </c>
      <c r="AN202" s="99">
        <v>0</v>
      </c>
      <c r="AO202" s="99">
        <v>0</v>
      </c>
      <c r="AP202" s="99">
        <v>0</v>
      </c>
      <c r="AQ202" s="99"/>
      <c r="AR202" s="99">
        <v>1763</v>
      </c>
      <c r="AS202" s="99">
        <v>2003</v>
      </c>
      <c r="AT202" s="99">
        <v>-1113</v>
      </c>
      <c r="AU202" s="99" t="s">
        <v>1345</v>
      </c>
      <c r="AV202" s="99">
        <v>17.8</v>
      </c>
      <c r="AW202" s="99" t="s">
        <v>530</v>
      </c>
      <c r="AX202" s="99" t="s">
        <v>1042</v>
      </c>
    </row>
    <row r="203" spans="1:50" ht="18" customHeight="1" x14ac:dyDescent="0.25">
      <c r="A203" s="349" t="s">
        <v>393</v>
      </c>
      <c r="B203" s="99" t="s">
        <v>394</v>
      </c>
      <c r="C203" s="99" t="s">
        <v>44</v>
      </c>
      <c r="D203" s="99" t="s">
        <v>35</v>
      </c>
      <c r="E203" s="350">
        <v>41548</v>
      </c>
      <c r="F203" s="99" t="s">
        <v>1429</v>
      </c>
      <c r="G203" s="590"/>
      <c r="H203" s="99"/>
      <c r="I203" s="99"/>
      <c r="J203" s="99"/>
      <c r="K203" s="99" t="s">
        <v>1429</v>
      </c>
      <c r="L203" s="99"/>
      <c r="M203" s="99"/>
      <c r="N203" s="99"/>
      <c r="O203" s="99"/>
      <c r="P203" s="99" t="s">
        <v>37</v>
      </c>
      <c r="Q203" s="99" t="s">
        <v>1429</v>
      </c>
      <c r="R203" s="99"/>
      <c r="S203" s="99"/>
      <c r="T203" s="99"/>
      <c r="U203" s="99"/>
      <c r="V203" s="99" t="s">
        <v>46</v>
      </c>
      <c r="W203" s="99" t="s">
        <v>32</v>
      </c>
      <c r="X203" s="99" t="s">
        <v>37</v>
      </c>
      <c r="Y203" s="99">
        <v>200</v>
      </c>
      <c r="Z203" s="99"/>
      <c r="AA203" s="99">
        <v>580</v>
      </c>
      <c r="AB203" s="99">
        <v>0</v>
      </c>
      <c r="AC203" s="99">
        <v>800</v>
      </c>
      <c r="AD203" s="99">
        <v>0</v>
      </c>
      <c r="AE203" s="99">
        <v>0</v>
      </c>
      <c r="AF203" s="99">
        <v>0</v>
      </c>
      <c r="AG203" s="99">
        <v>1040</v>
      </c>
      <c r="AH203" s="99">
        <v>10</v>
      </c>
      <c r="AI203" s="99">
        <v>24</v>
      </c>
      <c r="AJ203" s="99">
        <v>0</v>
      </c>
      <c r="AK203" s="99">
        <v>0</v>
      </c>
      <c r="AL203" s="99">
        <v>0</v>
      </c>
      <c r="AM203" s="99">
        <v>0</v>
      </c>
      <c r="AN203" s="99">
        <v>0</v>
      </c>
      <c r="AO203" s="99">
        <v>0</v>
      </c>
      <c r="AP203" s="99">
        <v>0</v>
      </c>
      <c r="AQ203" s="99" t="s">
        <v>47</v>
      </c>
      <c r="AR203" s="99">
        <v>800</v>
      </c>
      <c r="AS203" s="99">
        <v>1840</v>
      </c>
      <c r="AT203" s="99">
        <v>-1640</v>
      </c>
      <c r="AU203" s="99" t="s">
        <v>1345</v>
      </c>
      <c r="AV203" s="99">
        <v>4</v>
      </c>
      <c r="AW203" s="99" t="s">
        <v>673</v>
      </c>
      <c r="AX203" s="99"/>
    </row>
    <row r="204" spans="1:50" ht="18" customHeight="1" x14ac:dyDescent="0.25">
      <c r="A204" s="349" t="s">
        <v>395</v>
      </c>
      <c r="B204" s="99" t="s">
        <v>396</v>
      </c>
      <c r="C204" s="99" t="s">
        <v>35</v>
      </c>
      <c r="D204" s="99" t="s">
        <v>35</v>
      </c>
      <c r="E204" s="350">
        <v>40673</v>
      </c>
      <c r="F204" s="99" t="s">
        <v>37</v>
      </c>
      <c r="G204" s="590" t="s">
        <v>44</v>
      </c>
      <c r="H204" s="99">
        <v>120</v>
      </c>
      <c r="I204" s="351">
        <v>0.375</v>
      </c>
      <c r="J204" s="351">
        <v>0.70833333333333337</v>
      </c>
      <c r="K204" s="99" t="s">
        <v>1429</v>
      </c>
      <c r="L204" s="99" t="s">
        <v>1435</v>
      </c>
      <c r="M204" s="352">
        <v>43311</v>
      </c>
      <c r="N204" s="99" t="s">
        <v>1655</v>
      </c>
      <c r="O204" s="99" t="s">
        <v>1603</v>
      </c>
      <c r="P204" s="99" t="s">
        <v>37</v>
      </c>
      <c r="Q204" s="99" t="s">
        <v>1429</v>
      </c>
      <c r="R204" s="99" t="s">
        <v>1826</v>
      </c>
      <c r="S204" s="99" t="s">
        <v>1444</v>
      </c>
      <c r="T204" s="99"/>
      <c r="U204" s="99" t="s">
        <v>36</v>
      </c>
      <c r="V204" s="99" t="s">
        <v>46</v>
      </c>
      <c r="W204" s="99" t="s">
        <v>32</v>
      </c>
      <c r="X204" s="99" t="s">
        <v>37</v>
      </c>
      <c r="Y204" s="99">
        <v>5670</v>
      </c>
      <c r="Z204" s="99">
        <v>0</v>
      </c>
      <c r="AA204" s="99">
        <v>580</v>
      </c>
      <c r="AB204" s="99">
        <v>0</v>
      </c>
      <c r="AC204" s="99">
        <v>1480</v>
      </c>
      <c r="AD204" s="99">
        <v>0</v>
      </c>
      <c r="AE204" s="99">
        <v>0</v>
      </c>
      <c r="AF204" s="99">
        <v>0</v>
      </c>
      <c r="AG204" s="99">
        <v>2483</v>
      </c>
      <c r="AH204" s="99">
        <v>30</v>
      </c>
      <c r="AI204" s="99">
        <v>24</v>
      </c>
      <c r="AJ204" s="99">
        <v>0</v>
      </c>
      <c r="AK204" s="99">
        <v>0</v>
      </c>
      <c r="AL204" s="99">
        <v>0</v>
      </c>
      <c r="AM204" s="99">
        <v>0</v>
      </c>
      <c r="AN204" s="99">
        <v>0</v>
      </c>
      <c r="AO204" s="99">
        <v>0</v>
      </c>
      <c r="AP204" s="99">
        <v>0</v>
      </c>
      <c r="AQ204" s="99" t="s">
        <v>47</v>
      </c>
      <c r="AR204" s="99">
        <v>1763</v>
      </c>
      <c r="AS204" s="99">
        <v>3963</v>
      </c>
      <c r="AT204" s="99">
        <v>1707</v>
      </c>
      <c r="AU204" s="99" t="s">
        <v>1345</v>
      </c>
      <c r="AV204" s="99">
        <v>113.4</v>
      </c>
      <c r="AW204" s="99" t="s">
        <v>527</v>
      </c>
      <c r="AX204" s="99" t="s">
        <v>1795</v>
      </c>
    </row>
    <row r="205" spans="1:50" ht="18" customHeight="1" x14ac:dyDescent="0.25">
      <c r="A205" s="349" t="s">
        <v>397</v>
      </c>
      <c r="B205" s="99" t="s">
        <v>398</v>
      </c>
      <c r="C205" s="99" t="s">
        <v>44</v>
      </c>
      <c r="D205" s="99" t="s">
        <v>30</v>
      </c>
      <c r="E205" s="350">
        <v>41122</v>
      </c>
      <c r="F205" s="99" t="s">
        <v>37</v>
      </c>
      <c r="G205" s="590" t="s">
        <v>44</v>
      </c>
      <c r="H205" s="99">
        <v>240</v>
      </c>
      <c r="I205" s="351">
        <v>0.375</v>
      </c>
      <c r="J205" s="351">
        <v>0.70833333333333337</v>
      </c>
      <c r="K205" s="99" t="s">
        <v>1429</v>
      </c>
      <c r="L205" s="99" t="s">
        <v>1435</v>
      </c>
      <c r="M205" s="352">
        <v>43199</v>
      </c>
      <c r="N205" s="99" t="s">
        <v>1624</v>
      </c>
      <c r="O205" s="99" t="s">
        <v>1603</v>
      </c>
      <c r="P205" s="99" t="s">
        <v>37</v>
      </c>
      <c r="Q205" s="99" t="s">
        <v>1429</v>
      </c>
      <c r="R205" s="99" t="s">
        <v>1827</v>
      </c>
      <c r="S205" s="99" t="s">
        <v>1444</v>
      </c>
      <c r="T205" s="99"/>
      <c r="U205" s="99"/>
      <c r="V205" s="99" t="s">
        <v>46</v>
      </c>
      <c r="W205" s="99" t="s">
        <v>32</v>
      </c>
      <c r="X205" s="99" t="s">
        <v>37</v>
      </c>
      <c r="Y205" s="99">
        <v>2072</v>
      </c>
      <c r="Z205" s="99">
        <v>1</v>
      </c>
      <c r="AA205" s="99">
        <v>580</v>
      </c>
      <c r="AB205" s="99">
        <v>0</v>
      </c>
      <c r="AC205" s="99">
        <v>1480</v>
      </c>
      <c r="AD205" s="99">
        <v>0</v>
      </c>
      <c r="AE205" s="99">
        <v>0</v>
      </c>
      <c r="AF205" s="99">
        <v>0</v>
      </c>
      <c r="AG205" s="99">
        <v>2003</v>
      </c>
      <c r="AH205" s="99">
        <v>10</v>
      </c>
      <c r="AI205" s="99">
        <v>24</v>
      </c>
      <c r="AJ205" s="99">
        <v>0</v>
      </c>
      <c r="AK205" s="99">
        <v>0</v>
      </c>
      <c r="AL205" s="99">
        <v>5</v>
      </c>
      <c r="AM205" s="99">
        <v>0</v>
      </c>
      <c r="AN205" s="99">
        <v>0</v>
      </c>
      <c r="AO205" s="99">
        <v>0</v>
      </c>
      <c r="AP205" s="99">
        <v>0</v>
      </c>
      <c r="AQ205" s="99" t="s">
        <v>47</v>
      </c>
      <c r="AR205" s="99">
        <v>1763</v>
      </c>
      <c r="AS205" s="99">
        <v>4063</v>
      </c>
      <c r="AT205" s="99">
        <v>-1991</v>
      </c>
      <c r="AU205" s="99" t="s">
        <v>1345</v>
      </c>
      <c r="AV205" s="99">
        <v>41.44</v>
      </c>
      <c r="AW205" s="99" t="s">
        <v>530</v>
      </c>
      <c r="AX205" s="99" t="s">
        <v>1866</v>
      </c>
    </row>
    <row r="206" spans="1:50" ht="18" customHeight="1" x14ac:dyDescent="0.25">
      <c r="A206" s="349" t="s">
        <v>399</v>
      </c>
      <c r="B206" s="99" t="s">
        <v>400</v>
      </c>
      <c r="C206" s="99" t="s">
        <v>56</v>
      </c>
      <c r="D206" s="99" t="s">
        <v>56</v>
      </c>
      <c r="E206" s="350">
        <v>41883</v>
      </c>
      <c r="F206" s="99" t="s">
        <v>1429</v>
      </c>
      <c r="G206" s="590" t="s">
        <v>66</v>
      </c>
      <c r="H206" s="99">
        <v>240</v>
      </c>
      <c r="I206" s="351">
        <v>0.375</v>
      </c>
      <c r="J206" s="351">
        <v>0.70833333333333337</v>
      </c>
      <c r="K206" s="99" t="s">
        <v>37</v>
      </c>
      <c r="L206" s="99" t="s">
        <v>1435</v>
      </c>
      <c r="M206" s="99" t="s">
        <v>1656</v>
      </c>
      <c r="N206" s="99" t="s">
        <v>1657</v>
      </c>
      <c r="O206" s="99" t="s">
        <v>1603</v>
      </c>
      <c r="P206" s="99" t="s">
        <v>37</v>
      </c>
      <c r="Q206" s="99" t="s">
        <v>1429</v>
      </c>
      <c r="R206" s="99" t="s">
        <v>1828</v>
      </c>
      <c r="S206" s="99" t="s">
        <v>1453</v>
      </c>
      <c r="T206" s="99"/>
      <c r="U206" s="99"/>
      <c r="V206" s="99" t="s">
        <v>46</v>
      </c>
      <c r="W206" s="99" t="s">
        <v>32</v>
      </c>
      <c r="X206" s="99" t="s">
        <v>37</v>
      </c>
      <c r="Y206" s="99">
        <v>12001</v>
      </c>
      <c r="Z206" s="99">
        <v>4</v>
      </c>
      <c r="AA206" s="99">
        <v>580</v>
      </c>
      <c r="AB206" s="99">
        <v>0</v>
      </c>
      <c r="AC206" s="99">
        <v>1480</v>
      </c>
      <c r="AD206" s="99">
        <v>0</v>
      </c>
      <c r="AE206" s="99">
        <v>0</v>
      </c>
      <c r="AF206" s="99">
        <v>0</v>
      </c>
      <c r="AG206" s="99">
        <v>2243</v>
      </c>
      <c r="AH206" s="99">
        <v>20</v>
      </c>
      <c r="AI206" s="99">
        <v>24</v>
      </c>
      <c r="AJ206" s="99">
        <v>0</v>
      </c>
      <c r="AK206" s="99">
        <v>0</v>
      </c>
      <c r="AL206" s="99">
        <v>0</v>
      </c>
      <c r="AM206" s="99">
        <v>0</v>
      </c>
      <c r="AN206" s="99">
        <v>0</v>
      </c>
      <c r="AO206" s="99">
        <v>0</v>
      </c>
      <c r="AP206" s="99">
        <v>0</v>
      </c>
      <c r="AQ206" s="99" t="s">
        <v>47</v>
      </c>
      <c r="AR206" s="99">
        <v>1763</v>
      </c>
      <c r="AS206" s="99">
        <v>6043</v>
      </c>
      <c r="AT206" s="99">
        <v>5958</v>
      </c>
      <c r="AU206" s="99" t="s">
        <v>1345</v>
      </c>
      <c r="AV206" s="99">
        <v>240.02</v>
      </c>
      <c r="AW206" s="99" t="s">
        <v>526</v>
      </c>
      <c r="AX206" s="99" t="s">
        <v>1852</v>
      </c>
    </row>
    <row r="207" spans="1:50" ht="18" customHeight="1" x14ac:dyDescent="0.25">
      <c r="A207" s="349" t="s">
        <v>401</v>
      </c>
      <c r="B207" s="99" t="s">
        <v>402</v>
      </c>
      <c r="C207" s="99" t="s">
        <v>30</v>
      </c>
      <c r="D207" s="99" t="s">
        <v>30</v>
      </c>
      <c r="E207" s="350">
        <v>40935</v>
      </c>
      <c r="F207" s="99" t="s">
        <v>1429</v>
      </c>
      <c r="G207" s="590" t="s">
        <v>126</v>
      </c>
      <c r="H207" s="99">
        <v>48</v>
      </c>
      <c r="I207" s="351">
        <v>0.33333333333333331</v>
      </c>
      <c r="J207" s="351">
        <v>0.66666666666666663</v>
      </c>
      <c r="K207" s="99" t="s">
        <v>1429</v>
      </c>
      <c r="L207" s="99">
        <v>99</v>
      </c>
      <c r="M207" s="352">
        <v>43324</v>
      </c>
      <c r="N207" s="99" t="s">
        <v>1658</v>
      </c>
      <c r="O207" s="99" t="s">
        <v>1511</v>
      </c>
      <c r="P207" s="99" t="s">
        <v>1429</v>
      </c>
      <c r="Q207" s="99" t="s">
        <v>1429</v>
      </c>
      <c r="R207" s="99" t="s">
        <v>1659</v>
      </c>
      <c r="S207" s="99" t="s">
        <v>1444</v>
      </c>
      <c r="T207" s="99"/>
      <c r="U207" s="99"/>
      <c r="V207" s="99" t="s">
        <v>46</v>
      </c>
      <c r="W207" s="99" t="s">
        <v>32</v>
      </c>
      <c r="X207" s="99" t="s">
        <v>37</v>
      </c>
      <c r="Y207" s="99">
        <v>3700</v>
      </c>
      <c r="Z207" s="99">
        <v>1</v>
      </c>
      <c r="AA207" s="99">
        <v>580</v>
      </c>
      <c r="AB207" s="99">
        <v>0</v>
      </c>
      <c r="AC207" s="99">
        <v>1480</v>
      </c>
      <c r="AD207" s="99">
        <v>0</v>
      </c>
      <c r="AE207" s="99">
        <v>0</v>
      </c>
      <c r="AF207" s="99">
        <v>0</v>
      </c>
      <c r="AG207" s="99">
        <v>2003</v>
      </c>
      <c r="AH207" s="99">
        <v>10</v>
      </c>
      <c r="AI207" s="99">
        <v>24</v>
      </c>
      <c r="AJ207" s="99">
        <v>0</v>
      </c>
      <c r="AK207" s="99">
        <v>0</v>
      </c>
      <c r="AL207" s="99">
        <v>0</v>
      </c>
      <c r="AM207" s="99">
        <v>0</v>
      </c>
      <c r="AN207" s="99">
        <v>0</v>
      </c>
      <c r="AO207" s="99">
        <v>0</v>
      </c>
      <c r="AP207" s="99">
        <v>0</v>
      </c>
      <c r="AQ207" s="99" t="s">
        <v>47</v>
      </c>
      <c r="AR207" s="99">
        <v>1763</v>
      </c>
      <c r="AS207" s="99">
        <v>4063</v>
      </c>
      <c r="AT207" s="99">
        <v>-363</v>
      </c>
      <c r="AU207" s="99" t="s">
        <v>1345</v>
      </c>
      <c r="AV207" s="99">
        <v>74</v>
      </c>
      <c r="AW207" s="99" t="s">
        <v>530</v>
      </c>
      <c r="AX207" s="99" t="s">
        <v>1861</v>
      </c>
    </row>
    <row r="208" spans="1:50" ht="18" customHeight="1" x14ac:dyDescent="0.25">
      <c r="A208" s="349" t="s">
        <v>403</v>
      </c>
      <c r="B208" s="99" t="s">
        <v>404</v>
      </c>
      <c r="C208" s="99" t="s">
        <v>35</v>
      </c>
      <c r="D208" s="99" t="s">
        <v>35</v>
      </c>
      <c r="E208" s="350">
        <v>41699</v>
      </c>
      <c r="F208" s="99" t="s">
        <v>1429</v>
      </c>
      <c r="G208" s="590" t="s">
        <v>44</v>
      </c>
      <c r="H208" s="99">
        <v>240</v>
      </c>
      <c r="I208" s="99"/>
      <c r="J208" s="99"/>
      <c r="K208" s="99" t="s">
        <v>1429</v>
      </c>
      <c r="L208" s="99" t="s">
        <v>1435</v>
      </c>
      <c r="M208" s="99">
        <v>0</v>
      </c>
      <c r="N208" s="99" t="s">
        <v>1660</v>
      </c>
      <c r="O208" s="99" t="s">
        <v>1522</v>
      </c>
      <c r="P208" s="99" t="s">
        <v>37</v>
      </c>
      <c r="Q208" s="99" t="s">
        <v>1429</v>
      </c>
      <c r="R208" s="99" t="s">
        <v>1452</v>
      </c>
      <c r="S208" s="99" t="s">
        <v>1453</v>
      </c>
      <c r="T208" s="99"/>
      <c r="U208" s="99"/>
      <c r="V208" s="99" t="s">
        <v>46</v>
      </c>
      <c r="W208" s="99" t="s">
        <v>32</v>
      </c>
      <c r="X208" s="99" t="s">
        <v>37</v>
      </c>
      <c r="Y208" s="99">
        <v>200</v>
      </c>
      <c r="Z208" s="99"/>
      <c r="AA208" s="99">
        <v>580</v>
      </c>
      <c r="AB208" s="99">
        <v>0</v>
      </c>
      <c r="AC208" s="99">
        <v>800</v>
      </c>
      <c r="AD208" s="99">
        <v>0</v>
      </c>
      <c r="AE208" s="99">
        <v>0</v>
      </c>
      <c r="AF208" s="99">
        <v>0</v>
      </c>
      <c r="AG208" s="99">
        <v>1040</v>
      </c>
      <c r="AH208" s="99">
        <v>10</v>
      </c>
      <c r="AI208" s="99">
        <v>24</v>
      </c>
      <c r="AJ208" s="99">
        <v>0</v>
      </c>
      <c r="AK208" s="99">
        <v>0</v>
      </c>
      <c r="AL208" s="99">
        <v>0</v>
      </c>
      <c r="AM208" s="99">
        <v>0</v>
      </c>
      <c r="AN208" s="99">
        <v>0</v>
      </c>
      <c r="AO208" s="99">
        <v>0</v>
      </c>
      <c r="AP208" s="99">
        <v>0</v>
      </c>
      <c r="AQ208" s="99" t="s">
        <v>47</v>
      </c>
      <c r="AR208" s="99">
        <v>800</v>
      </c>
      <c r="AS208" s="99">
        <v>1840</v>
      </c>
      <c r="AT208" s="99">
        <v>-1640</v>
      </c>
      <c r="AU208" s="99" t="s">
        <v>1345</v>
      </c>
      <c r="AV208" s="99">
        <v>4</v>
      </c>
      <c r="AW208" s="99" t="s">
        <v>673</v>
      </c>
      <c r="AX208" s="99" t="s">
        <v>1057</v>
      </c>
    </row>
    <row r="209" spans="1:50" ht="18" customHeight="1" x14ac:dyDescent="0.25">
      <c r="A209" s="349" t="s">
        <v>1870</v>
      </c>
      <c r="B209" s="99" t="s">
        <v>642</v>
      </c>
      <c r="C209" s="99" t="s">
        <v>35</v>
      </c>
      <c r="D209" s="99" t="s">
        <v>35</v>
      </c>
      <c r="E209" s="350">
        <v>42653</v>
      </c>
      <c r="F209" s="99" t="s">
        <v>1429</v>
      </c>
      <c r="G209" s="590" t="s">
        <v>545</v>
      </c>
      <c r="H209" s="99">
        <v>240</v>
      </c>
      <c r="I209" s="351">
        <v>0.375</v>
      </c>
      <c r="J209" s="351">
        <v>0.70833333333333337</v>
      </c>
      <c r="K209" s="99" t="s">
        <v>1429</v>
      </c>
      <c r="L209" s="99" t="s">
        <v>1435</v>
      </c>
      <c r="M209" s="99" t="s">
        <v>1608</v>
      </c>
      <c r="N209" s="99" t="s">
        <v>1661</v>
      </c>
      <c r="O209" s="99" t="s">
        <v>1432</v>
      </c>
      <c r="P209" s="99" t="s">
        <v>37</v>
      </c>
      <c r="Q209" s="99" t="s">
        <v>1429</v>
      </c>
      <c r="R209" s="99" t="s">
        <v>1662</v>
      </c>
      <c r="S209" s="99" t="s">
        <v>1444</v>
      </c>
      <c r="T209" s="99"/>
      <c r="U209" s="99"/>
      <c r="V209" s="99" t="s">
        <v>46</v>
      </c>
      <c r="W209" s="99" t="s">
        <v>32</v>
      </c>
      <c r="X209" s="99" t="s">
        <v>37</v>
      </c>
      <c r="Y209" s="99">
        <v>9500</v>
      </c>
      <c r="Z209" s="99">
        <v>2</v>
      </c>
      <c r="AA209" s="99">
        <v>580</v>
      </c>
      <c r="AB209" s="99">
        <v>0</v>
      </c>
      <c r="AC209" s="99">
        <v>1480</v>
      </c>
      <c r="AD209" s="99">
        <v>2</v>
      </c>
      <c r="AE209" s="99">
        <v>0</v>
      </c>
      <c r="AF209" s="99">
        <v>0</v>
      </c>
      <c r="AG209" s="99">
        <v>4163</v>
      </c>
      <c r="AH209" s="99">
        <v>100</v>
      </c>
      <c r="AI209" s="99">
        <v>24</v>
      </c>
      <c r="AJ209" s="99">
        <v>0</v>
      </c>
      <c r="AK209" s="99">
        <v>0</v>
      </c>
      <c r="AL209" s="99">
        <v>0</v>
      </c>
      <c r="AM209" s="99">
        <v>0</v>
      </c>
      <c r="AN209" s="99">
        <v>0</v>
      </c>
      <c r="AO209" s="99">
        <v>0</v>
      </c>
      <c r="AP209" s="99">
        <v>0</v>
      </c>
      <c r="AQ209" s="99" t="s">
        <v>576</v>
      </c>
      <c r="AR209" s="99">
        <v>1763</v>
      </c>
      <c r="AS209" s="99">
        <v>7963</v>
      </c>
      <c r="AT209" s="99">
        <v>1537</v>
      </c>
      <c r="AU209" s="99" t="s">
        <v>1345</v>
      </c>
      <c r="AV209" s="99">
        <v>190</v>
      </c>
      <c r="AW209" s="99" t="s">
        <v>527</v>
      </c>
      <c r="AX209" s="99" t="s">
        <v>1856</v>
      </c>
    </row>
    <row r="210" spans="1:50" ht="18" customHeight="1" x14ac:dyDescent="0.25">
      <c r="A210" s="349" t="s">
        <v>405</v>
      </c>
      <c r="B210" s="99" t="s">
        <v>406</v>
      </c>
      <c r="C210" s="99" t="s">
        <v>35</v>
      </c>
      <c r="D210" s="99" t="s">
        <v>35</v>
      </c>
      <c r="E210" s="350">
        <v>41548</v>
      </c>
      <c r="F210" s="99" t="s">
        <v>1429</v>
      </c>
      <c r="G210" s="590" t="s">
        <v>44</v>
      </c>
      <c r="H210" s="99">
        <v>0</v>
      </c>
      <c r="I210" s="99"/>
      <c r="J210" s="99"/>
      <c r="K210" s="99" t="s">
        <v>1429</v>
      </c>
      <c r="L210" s="99" t="s">
        <v>1435</v>
      </c>
      <c r="M210" s="99">
        <v>0</v>
      </c>
      <c r="N210" s="99"/>
      <c r="O210" s="99"/>
      <c r="P210" s="99" t="s">
        <v>37</v>
      </c>
      <c r="Q210" s="99" t="s">
        <v>1429</v>
      </c>
      <c r="R210" s="99" t="s">
        <v>1452</v>
      </c>
      <c r="S210" s="99"/>
      <c r="T210" s="99"/>
      <c r="U210" s="99"/>
      <c r="V210" s="99" t="s">
        <v>46</v>
      </c>
      <c r="W210" s="99" t="s">
        <v>32</v>
      </c>
      <c r="X210" s="99" t="s">
        <v>37</v>
      </c>
      <c r="Y210" s="99">
        <v>200</v>
      </c>
      <c r="Z210" s="99"/>
      <c r="AA210" s="99">
        <v>580</v>
      </c>
      <c r="AB210" s="99">
        <v>0</v>
      </c>
      <c r="AC210" s="99">
        <v>800</v>
      </c>
      <c r="AD210" s="99">
        <v>0</v>
      </c>
      <c r="AE210" s="99">
        <v>0</v>
      </c>
      <c r="AF210" s="99">
        <v>0</v>
      </c>
      <c r="AG210" s="99">
        <v>1040</v>
      </c>
      <c r="AH210" s="99">
        <v>10</v>
      </c>
      <c r="AI210" s="99">
        <v>24</v>
      </c>
      <c r="AJ210" s="99">
        <v>0</v>
      </c>
      <c r="AK210" s="99">
        <v>0</v>
      </c>
      <c r="AL210" s="99">
        <v>0</v>
      </c>
      <c r="AM210" s="99">
        <v>0</v>
      </c>
      <c r="AN210" s="99">
        <v>0</v>
      </c>
      <c r="AO210" s="99">
        <v>0</v>
      </c>
      <c r="AP210" s="99">
        <v>0</v>
      </c>
      <c r="AQ210" s="99" t="s">
        <v>47</v>
      </c>
      <c r="AR210" s="99">
        <v>800</v>
      </c>
      <c r="AS210" s="99">
        <v>1840</v>
      </c>
      <c r="AT210" s="99">
        <v>-1640</v>
      </c>
      <c r="AU210" s="99" t="s">
        <v>1345</v>
      </c>
      <c r="AV210" s="99">
        <v>4</v>
      </c>
      <c r="AW210" s="99" t="s">
        <v>673</v>
      </c>
      <c r="AX210" s="99" t="s">
        <v>1829</v>
      </c>
    </row>
    <row r="211" spans="1:50" ht="18" customHeight="1" x14ac:dyDescent="0.25">
      <c r="A211" s="349" t="s">
        <v>407</v>
      </c>
      <c r="B211" s="99" t="s">
        <v>408</v>
      </c>
      <c r="C211" s="99" t="s">
        <v>40</v>
      </c>
      <c r="D211" s="99" t="s">
        <v>30</v>
      </c>
      <c r="E211" s="350">
        <v>41484</v>
      </c>
      <c r="F211" s="99" t="s">
        <v>37</v>
      </c>
      <c r="G211" s="590" t="s">
        <v>40</v>
      </c>
      <c r="H211" s="99">
        <v>120</v>
      </c>
      <c r="I211" s="351">
        <v>0.375</v>
      </c>
      <c r="J211" s="351">
        <v>0.70833333333333337</v>
      </c>
      <c r="K211" s="99" t="s">
        <v>1429</v>
      </c>
      <c r="L211" s="99" t="s">
        <v>1435</v>
      </c>
      <c r="M211" s="352">
        <v>43271</v>
      </c>
      <c r="N211" s="99" t="s">
        <v>1663</v>
      </c>
      <c r="O211" s="99" t="s">
        <v>1432</v>
      </c>
      <c r="P211" s="99" t="s">
        <v>37</v>
      </c>
      <c r="Q211" s="99" t="s">
        <v>1429</v>
      </c>
      <c r="R211" s="99" t="s">
        <v>1664</v>
      </c>
      <c r="S211" s="99" t="s">
        <v>1444</v>
      </c>
      <c r="T211" s="99"/>
      <c r="U211" s="99"/>
      <c r="V211" s="99" t="s">
        <v>31</v>
      </c>
      <c r="W211" s="99" t="s">
        <v>32</v>
      </c>
      <c r="X211" s="99" t="s">
        <v>37</v>
      </c>
      <c r="Y211" s="99">
        <v>2500</v>
      </c>
      <c r="Z211" s="99">
        <v>0</v>
      </c>
      <c r="AA211" s="99">
        <v>580</v>
      </c>
      <c r="AB211" s="99">
        <v>0</v>
      </c>
      <c r="AC211" s="99">
        <v>0</v>
      </c>
      <c r="AD211" s="99">
        <v>0</v>
      </c>
      <c r="AE211" s="99">
        <v>0</v>
      </c>
      <c r="AF211" s="99">
        <v>0</v>
      </c>
      <c r="AG211" s="99">
        <v>2003</v>
      </c>
      <c r="AH211" s="99">
        <v>10</v>
      </c>
      <c r="AI211" s="99">
        <v>24</v>
      </c>
      <c r="AJ211" s="99">
        <v>0</v>
      </c>
      <c r="AK211" s="99">
        <v>0</v>
      </c>
      <c r="AL211" s="99">
        <v>0</v>
      </c>
      <c r="AM211" s="99">
        <v>0</v>
      </c>
      <c r="AN211" s="99">
        <v>0</v>
      </c>
      <c r="AO211" s="99">
        <v>0</v>
      </c>
      <c r="AP211" s="99">
        <v>0</v>
      </c>
      <c r="AQ211" s="99"/>
      <c r="AR211" s="99">
        <v>1763</v>
      </c>
      <c r="AS211" s="99">
        <v>2003</v>
      </c>
      <c r="AT211" s="99">
        <v>497</v>
      </c>
      <c r="AU211" s="99" t="s">
        <v>1345</v>
      </c>
      <c r="AV211" s="99">
        <v>50</v>
      </c>
      <c r="AW211" s="99" t="s">
        <v>528</v>
      </c>
      <c r="AX211" s="99" t="s">
        <v>1041</v>
      </c>
    </row>
    <row r="212" spans="1:50" ht="18" customHeight="1" x14ac:dyDescent="0.25">
      <c r="A212" s="349" t="s">
        <v>411</v>
      </c>
      <c r="B212" s="99" t="s">
        <v>412</v>
      </c>
      <c r="C212" s="99" t="s">
        <v>1346</v>
      </c>
      <c r="D212" s="99" t="s">
        <v>45</v>
      </c>
      <c r="E212" s="350">
        <v>39083</v>
      </c>
      <c r="F212" s="99" t="s">
        <v>37</v>
      </c>
      <c r="G212" s="590" t="s">
        <v>52</v>
      </c>
      <c r="H212" s="99">
        <v>0</v>
      </c>
      <c r="I212" s="99"/>
      <c r="J212" s="99"/>
      <c r="K212" s="99" t="s">
        <v>1429</v>
      </c>
      <c r="L212" s="99">
        <v>0</v>
      </c>
      <c r="M212" s="99">
        <v>0</v>
      </c>
      <c r="N212" s="99"/>
      <c r="O212" s="99" t="s">
        <v>1665</v>
      </c>
      <c r="P212" s="99" t="s">
        <v>37</v>
      </c>
      <c r="Q212" s="99" t="s">
        <v>1429</v>
      </c>
      <c r="R212" s="99" t="s">
        <v>1666</v>
      </c>
      <c r="S212" s="99"/>
      <c r="T212" s="99"/>
      <c r="U212" s="99"/>
      <c r="V212" s="99" t="s">
        <v>71</v>
      </c>
      <c r="W212" s="99" t="s">
        <v>32</v>
      </c>
      <c r="X212" s="99" t="s">
        <v>37</v>
      </c>
      <c r="Y212" s="99">
        <v>200</v>
      </c>
      <c r="Z212" s="99">
        <v>0</v>
      </c>
      <c r="AA212" s="99">
        <v>580</v>
      </c>
      <c r="AB212" s="99">
        <v>0</v>
      </c>
      <c r="AC212" s="99">
        <v>0</v>
      </c>
      <c r="AD212" s="99">
        <v>0</v>
      </c>
      <c r="AE212" s="99">
        <v>0</v>
      </c>
      <c r="AF212" s="99">
        <v>0</v>
      </c>
      <c r="AG212" s="99">
        <v>0</v>
      </c>
      <c r="AH212" s="99">
        <v>0</v>
      </c>
      <c r="AI212" s="99">
        <v>24</v>
      </c>
      <c r="AJ212" s="99">
        <v>0</v>
      </c>
      <c r="AK212" s="99">
        <v>0</v>
      </c>
      <c r="AL212" s="99">
        <v>0</v>
      </c>
      <c r="AM212" s="99">
        <v>0</v>
      </c>
      <c r="AN212" s="99">
        <v>0</v>
      </c>
      <c r="AO212" s="99">
        <v>0</v>
      </c>
      <c r="AP212" s="99">
        <v>0</v>
      </c>
      <c r="AQ212" s="99"/>
      <c r="AR212" s="99">
        <v>0</v>
      </c>
      <c r="AS212" s="99">
        <v>0</v>
      </c>
      <c r="AT212" s="99">
        <v>200</v>
      </c>
      <c r="AU212" s="99" t="s">
        <v>1345</v>
      </c>
      <c r="AV212" s="99">
        <v>4</v>
      </c>
      <c r="AW212" s="99" t="s">
        <v>528</v>
      </c>
      <c r="AX212" s="99" t="s">
        <v>1188</v>
      </c>
    </row>
    <row r="213" spans="1:50" ht="18" customHeight="1" x14ac:dyDescent="0.25">
      <c r="A213" s="349" t="s">
        <v>1179</v>
      </c>
      <c r="B213" s="99" t="s">
        <v>1180</v>
      </c>
      <c r="C213" s="99" t="s">
        <v>35</v>
      </c>
      <c r="D213" s="99" t="s">
        <v>35</v>
      </c>
      <c r="E213" s="350">
        <v>42643</v>
      </c>
      <c r="F213" s="99" t="s">
        <v>37</v>
      </c>
      <c r="G213" s="590" t="s">
        <v>52</v>
      </c>
      <c r="H213" s="99">
        <v>0</v>
      </c>
      <c r="I213" s="351">
        <v>0.375</v>
      </c>
      <c r="J213" s="351">
        <v>0.70833333333333337</v>
      </c>
      <c r="K213" s="99" t="s">
        <v>1429</v>
      </c>
      <c r="L213" s="99" t="s">
        <v>1435</v>
      </c>
      <c r="M213" s="99">
        <v>0</v>
      </c>
      <c r="N213" s="99" t="s">
        <v>1666</v>
      </c>
      <c r="O213" s="99" t="s">
        <v>1432</v>
      </c>
      <c r="P213" s="99" t="s">
        <v>1429</v>
      </c>
      <c r="Q213" s="99" t="s">
        <v>1429</v>
      </c>
      <c r="R213" s="99"/>
      <c r="S213" s="99" t="s">
        <v>1453</v>
      </c>
      <c r="T213" s="99"/>
      <c r="U213" s="99"/>
      <c r="V213" s="99" t="s">
        <v>31</v>
      </c>
      <c r="W213" s="99" t="s">
        <v>32</v>
      </c>
      <c r="X213" s="99" t="s">
        <v>37</v>
      </c>
      <c r="Y213" s="99">
        <v>400</v>
      </c>
      <c r="Z213" s="99"/>
      <c r="AA213" s="99">
        <v>580</v>
      </c>
      <c r="AB213" s="99">
        <v>0</v>
      </c>
      <c r="AC213" s="99">
        <v>0</v>
      </c>
      <c r="AD213" s="99">
        <v>0</v>
      </c>
      <c r="AE213" s="99">
        <v>0</v>
      </c>
      <c r="AF213" s="99">
        <v>0</v>
      </c>
      <c r="AG213" s="99">
        <v>1835</v>
      </c>
      <c r="AH213" s="99">
        <v>3</v>
      </c>
      <c r="AI213" s="99">
        <v>24</v>
      </c>
      <c r="AJ213" s="99">
        <v>0</v>
      </c>
      <c r="AK213" s="99">
        <v>0</v>
      </c>
      <c r="AL213" s="99">
        <v>0</v>
      </c>
      <c r="AM213" s="99">
        <v>0</v>
      </c>
      <c r="AN213" s="99">
        <v>0</v>
      </c>
      <c r="AO213" s="99">
        <v>0</v>
      </c>
      <c r="AP213" s="99">
        <v>0</v>
      </c>
      <c r="AQ213" s="99"/>
      <c r="AR213" s="99">
        <v>1763</v>
      </c>
      <c r="AS213" s="99">
        <v>1835</v>
      </c>
      <c r="AT213" s="99">
        <v>-1435</v>
      </c>
      <c r="AU213" s="99" t="s">
        <v>1345</v>
      </c>
      <c r="AV213" s="99">
        <v>8</v>
      </c>
      <c r="AW213" s="99" t="s">
        <v>530</v>
      </c>
      <c r="AX213" s="99" t="s">
        <v>1860</v>
      </c>
    </row>
    <row r="214" spans="1:50" ht="18" customHeight="1" x14ac:dyDescent="0.25">
      <c r="A214" s="349" t="s">
        <v>413</v>
      </c>
      <c r="B214" s="99" t="s">
        <v>414</v>
      </c>
      <c r="C214" s="99" t="s">
        <v>35</v>
      </c>
      <c r="D214" s="99" t="s">
        <v>35</v>
      </c>
      <c r="E214" s="350">
        <v>40483</v>
      </c>
      <c r="F214" s="99" t="s">
        <v>1429</v>
      </c>
      <c r="G214" s="590" t="s">
        <v>44</v>
      </c>
      <c r="H214" s="99">
        <v>240</v>
      </c>
      <c r="I214" s="351">
        <v>0.375</v>
      </c>
      <c r="J214" s="351">
        <v>0.70833333333333337</v>
      </c>
      <c r="K214" s="99" t="s">
        <v>1429</v>
      </c>
      <c r="L214" s="99" t="s">
        <v>1435</v>
      </c>
      <c r="M214" s="352">
        <v>43167</v>
      </c>
      <c r="N214" s="99" t="s">
        <v>1668</v>
      </c>
      <c r="O214" s="99" t="s">
        <v>1432</v>
      </c>
      <c r="P214" s="99" t="s">
        <v>37</v>
      </c>
      <c r="Q214" s="99" t="s">
        <v>1429</v>
      </c>
      <c r="R214" s="99" t="s">
        <v>1669</v>
      </c>
      <c r="S214" s="99" t="s">
        <v>1496</v>
      </c>
      <c r="T214" s="99"/>
      <c r="U214" s="99" t="s">
        <v>36</v>
      </c>
      <c r="V214" s="99" t="s">
        <v>46</v>
      </c>
      <c r="W214" s="99" t="s">
        <v>32</v>
      </c>
      <c r="X214" s="99" t="s">
        <v>37</v>
      </c>
      <c r="Y214" s="99">
        <v>3000</v>
      </c>
      <c r="Z214" s="99">
        <v>0</v>
      </c>
      <c r="AA214" s="99">
        <v>580</v>
      </c>
      <c r="AB214" s="99">
        <v>0</v>
      </c>
      <c r="AC214" s="99">
        <v>1480</v>
      </c>
      <c r="AD214" s="99">
        <v>0</v>
      </c>
      <c r="AE214" s="99">
        <v>0</v>
      </c>
      <c r="AF214" s="99">
        <v>0</v>
      </c>
      <c r="AG214" s="99">
        <v>2003</v>
      </c>
      <c r="AH214" s="99">
        <v>10</v>
      </c>
      <c r="AI214" s="99">
        <v>24</v>
      </c>
      <c r="AJ214" s="99">
        <v>0</v>
      </c>
      <c r="AK214" s="99">
        <v>0</v>
      </c>
      <c r="AL214" s="99">
        <v>0</v>
      </c>
      <c r="AM214" s="99">
        <v>0</v>
      </c>
      <c r="AN214" s="99">
        <v>0</v>
      </c>
      <c r="AO214" s="99">
        <v>0</v>
      </c>
      <c r="AP214" s="99">
        <v>0</v>
      </c>
      <c r="AQ214" s="99" t="s">
        <v>47</v>
      </c>
      <c r="AR214" s="99">
        <v>1763</v>
      </c>
      <c r="AS214" s="99">
        <v>3483</v>
      </c>
      <c r="AT214" s="99">
        <v>-483</v>
      </c>
      <c r="AU214" s="99" t="s">
        <v>1345</v>
      </c>
      <c r="AV214" s="99">
        <v>60</v>
      </c>
      <c r="AW214" s="99" t="s">
        <v>530</v>
      </c>
      <c r="AX214" s="99" t="s">
        <v>1855</v>
      </c>
    </row>
    <row r="215" spans="1:50" ht="18" customHeight="1" x14ac:dyDescent="0.25">
      <c r="A215" s="349" t="s">
        <v>1421</v>
      </c>
      <c r="B215" s="99" t="s">
        <v>416</v>
      </c>
      <c r="C215" s="99" t="s">
        <v>417</v>
      </c>
      <c r="D215" s="99" t="s">
        <v>45</v>
      </c>
      <c r="E215" s="350">
        <v>42826</v>
      </c>
      <c r="F215" s="99" t="s">
        <v>1429</v>
      </c>
      <c r="G215" s="590" t="s">
        <v>417</v>
      </c>
      <c r="H215" s="99">
        <v>30</v>
      </c>
      <c r="I215" s="351">
        <v>0.33333333333333331</v>
      </c>
      <c r="J215" s="351">
        <v>0.70833333333333337</v>
      </c>
      <c r="K215" s="99" t="s">
        <v>37</v>
      </c>
      <c r="L215" s="99">
        <v>99</v>
      </c>
      <c r="M215" s="99">
        <v>0</v>
      </c>
      <c r="N215" s="99"/>
      <c r="O215" s="99" t="s">
        <v>1603</v>
      </c>
      <c r="P215" s="99" t="s">
        <v>1429</v>
      </c>
      <c r="Q215" s="99" t="s">
        <v>37</v>
      </c>
      <c r="R215" s="99" t="s">
        <v>1670</v>
      </c>
      <c r="S215" s="99" t="s">
        <v>1671</v>
      </c>
      <c r="T215" s="350">
        <v>43465</v>
      </c>
      <c r="U215" s="99"/>
      <c r="V215" s="99" t="s">
        <v>31</v>
      </c>
      <c r="W215" s="99" t="s">
        <v>32</v>
      </c>
      <c r="X215" s="99" t="s">
        <v>37</v>
      </c>
      <c r="Y215" s="99">
        <v>73580</v>
      </c>
      <c r="Z215" s="99">
        <v>0</v>
      </c>
      <c r="AA215" s="99">
        <v>580</v>
      </c>
      <c r="AB215" s="99">
        <v>0</v>
      </c>
      <c r="AC215" s="99">
        <v>0</v>
      </c>
      <c r="AD215" s="99">
        <v>0</v>
      </c>
      <c r="AE215" s="99">
        <v>0</v>
      </c>
      <c r="AF215" s="99">
        <v>0</v>
      </c>
      <c r="AG215" s="99">
        <v>1763</v>
      </c>
      <c r="AH215" s="99">
        <v>0</v>
      </c>
      <c r="AI215" s="99">
        <v>24</v>
      </c>
      <c r="AJ215" s="99">
        <v>0</v>
      </c>
      <c r="AK215" s="99">
        <v>0</v>
      </c>
      <c r="AL215" s="99">
        <v>0</v>
      </c>
      <c r="AM215" s="99">
        <v>0</v>
      </c>
      <c r="AN215" s="99">
        <v>0</v>
      </c>
      <c r="AO215" s="99">
        <v>0</v>
      </c>
      <c r="AP215" s="99">
        <v>0</v>
      </c>
      <c r="AQ215" s="99"/>
      <c r="AR215" s="99">
        <v>1763</v>
      </c>
      <c r="AS215" s="99">
        <v>1763</v>
      </c>
      <c r="AT215" s="99">
        <v>71817</v>
      </c>
      <c r="AU215" s="99" t="s">
        <v>1345</v>
      </c>
      <c r="AV215" s="99">
        <v>1471.6</v>
      </c>
      <c r="AW215" s="99" t="s">
        <v>526</v>
      </c>
      <c r="AX215" s="99" t="s">
        <v>1830</v>
      </c>
    </row>
    <row r="216" spans="1:50" ht="18" customHeight="1" x14ac:dyDescent="0.25">
      <c r="A216" s="349" t="s">
        <v>418</v>
      </c>
      <c r="B216" s="99" t="s">
        <v>419</v>
      </c>
      <c r="C216" s="99" t="s">
        <v>30</v>
      </c>
      <c r="D216" s="99" t="s">
        <v>30</v>
      </c>
      <c r="E216" s="350">
        <v>41579</v>
      </c>
      <c r="F216" s="99" t="s">
        <v>37</v>
      </c>
      <c r="G216" s="590" t="s">
        <v>44</v>
      </c>
      <c r="H216" s="99">
        <v>240</v>
      </c>
      <c r="I216" s="351">
        <v>0.375</v>
      </c>
      <c r="J216" s="351">
        <v>0.70833333333333337</v>
      </c>
      <c r="K216" s="99" t="s">
        <v>1429</v>
      </c>
      <c r="L216" s="99">
        <v>99</v>
      </c>
      <c r="M216" s="352">
        <v>43179</v>
      </c>
      <c r="N216" s="99" t="s">
        <v>1446</v>
      </c>
      <c r="O216" s="99" t="s">
        <v>1522</v>
      </c>
      <c r="P216" s="99" t="s">
        <v>37</v>
      </c>
      <c r="Q216" s="99" t="s">
        <v>1429</v>
      </c>
      <c r="R216" s="99" t="s">
        <v>1672</v>
      </c>
      <c r="S216" s="99" t="s">
        <v>1444</v>
      </c>
      <c r="T216" s="99"/>
      <c r="U216" s="99"/>
      <c r="V216" s="99" t="s">
        <v>46</v>
      </c>
      <c r="W216" s="99" t="s">
        <v>32</v>
      </c>
      <c r="X216" s="99" t="s">
        <v>37</v>
      </c>
      <c r="Y216" s="99">
        <v>7000</v>
      </c>
      <c r="Z216" s="99">
        <v>1</v>
      </c>
      <c r="AA216" s="99">
        <v>580</v>
      </c>
      <c r="AB216" s="99">
        <v>0</v>
      </c>
      <c r="AC216" s="99">
        <v>1480</v>
      </c>
      <c r="AD216" s="99">
        <v>0</v>
      </c>
      <c r="AE216" s="99">
        <v>0</v>
      </c>
      <c r="AF216" s="99">
        <v>0</v>
      </c>
      <c r="AG216" s="99">
        <v>1883</v>
      </c>
      <c r="AH216" s="99">
        <v>5</v>
      </c>
      <c r="AI216" s="99">
        <v>24</v>
      </c>
      <c r="AJ216" s="99">
        <v>0</v>
      </c>
      <c r="AK216" s="99">
        <v>0</v>
      </c>
      <c r="AL216" s="99">
        <v>0</v>
      </c>
      <c r="AM216" s="99">
        <v>0</v>
      </c>
      <c r="AN216" s="99">
        <v>0</v>
      </c>
      <c r="AO216" s="99">
        <v>0</v>
      </c>
      <c r="AP216" s="99">
        <v>0</v>
      </c>
      <c r="AQ216" s="99" t="s">
        <v>47</v>
      </c>
      <c r="AR216" s="99">
        <v>1763</v>
      </c>
      <c r="AS216" s="99">
        <v>3943</v>
      </c>
      <c r="AT216" s="99">
        <v>3057</v>
      </c>
      <c r="AU216" s="99" t="s">
        <v>1345</v>
      </c>
      <c r="AV216" s="99">
        <v>140</v>
      </c>
      <c r="AW216" s="99" t="s">
        <v>527</v>
      </c>
      <c r="AX216" s="99" t="s">
        <v>1795</v>
      </c>
    </row>
    <row r="217" spans="1:50" ht="18" customHeight="1" x14ac:dyDescent="0.25">
      <c r="A217" s="349" t="s">
        <v>420</v>
      </c>
      <c r="B217" s="99" t="s">
        <v>421</v>
      </c>
      <c r="C217" s="99" t="s">
        <v>35</v>
      </c>
      <c r="D217" s="99" t="s">
        <v>35</v>
      </c>
      <c r="E217" s="350">
        <v>40969</v>
      </c>
      <c r="F217" s="99" t="s">
        <v>1429</v>
      </c>
      <c r="G217" s="590" t="s">
        <v>52</v>
      </c>
      <c r="H217" s="99">
        <v>240</v>
      </c>
      <c r="I217" s="351">
        <v>0.375</v>
      </c>
      <c r="J217" s="351">
        <v>0.70833333333333337</v>
      </c>
      <c r="K217" s="99" t="s">
        <v>1429</v>
      </c>
      <c r="L217" s="99" t="s">
        <v>1435</v>
      </c>
      <c r="M217" s="352">
        <v>43349</v>
      </c>
      <c r="N217" s="99" t="s">
        <v>1673</v>
      </c>
      <c r="O217" s="99" t="s">
        <v>1432</v>
      </c>
      <c r="P217" s="99" t="s">
        <v>37</v>
      </c>
      <c r="Q217" s="99" t="s">
        <v>1429</v>
      </c>
      <c r="R217" s="99" t="s">
        <v>1674</v>
      </c>
      <c r="S217" s="99" t="s">
        <v>1444</v>
      </c>
      <c r="T217" s="350">
        <v>43100</v>
      </c>
      <c r="U217" s="99"/>
      <c r="V217" s="99" t="s">
        <v>46</v>
      </c>
      <c r="W217" s="99" t="s">
        <v>32</v>
      </c>
      <c r="X217" s="99" t="s">
        <v>37</v>
      </c>
      <c r="Y217" s="99">
        <v>8333</v>
      </c>
      <c r="Z217" s="99">
        <v>2</v>
      </c>
      <c r="AA217" s="99">
        <v>580</v>
      </c>
      <c r="AB217" s="99">
        <v>0</v>
      </c>
      <c r="AC217" s="99">
        <v>1480</v>
      </c>
      <c r="AD217" s="99">
        <v>0</v>
      </c>
      <c r="AE217" s="99">
        <v>0</v>
      </c>
      <c r="AF217" s="99">
        <v>0</v>
      </c>
      <c r="AG217" s="99">
        <v>2243</v>
      </c>
      <c r="AH217" s="99">
        <v>20</v>
      </c>
      <c r="AI217" s="99">
        <v>24</v>
      </c>
      <c r="AJ217" s="99">
        <v>0</v>
      </c>
      <c r="AK217" s="99">
        <v>0</v>
      </c>
      <c r="AL217" s="99">
        <v>0</v>
      </c>
      <c r="AM217" s="99">
        <v>0</v>
      </c>
      <c r="AN217" s="99">
        <v>0</v>
      </c>
      <c r="AO217" s="99">
        <v>0</v>
      </c>
      <c r="AP217" s="99">
        <v>0</v>
      </c>
      <c r="AQ217" s="99" t="s">
        <v>47</v>
      </c>
      <c r="AR217" s="99">
        <v>1763</v>
      </c>
      <c r="AS217" s="99">
        <v>4883</v>
      </c>
      <c r="AT217" s="99">
        <v>3450</v>
      </c>
      <c r="AU217" s="99" t="s">
        <v>1345</v>
      </c>
      <c r="AV217" s="99">
        <v>166.66</v>
      </c>
      <c r="AW217" s="99" t="s">
        <v>527</v>
      </c>
      <c r="AX217" s="99" t="s">
        <v>1838</v>
      </c>
    </row>
    <row r="218" spans="1:50" ht="18" customHeight="1" x14ac:dyDescent="0.25">
      <c r="A218" s="349" t="s">
        <v>422</v>
      </c>
      <c r="B218" s="99" t="s">
        <v>423</v>
      </c>
      <c r="C218" s="99" t="s">
        <v>29</v>
      </c>
      <c r="D218" s="99" t="s">
        <v>56</v>
      </c>
      <c r="E218" s="350">
        <v>39763</v>
      </c>
      <c r="F218" s="99" t="s">
        <v>1429</v>
      </c>
      <c r="G218" s="590" t="s">
        <v>29</v>
      </c>
      <c r="H218" s="99">
        <v>0</v>
      </c>
      <c r="I218" s="99"/>
      <c r="J218" s="99"/>
      <c r="K218" s="99" t="s">
        <v>1429</v>
      </c>
      <c r="L218" s="99">
        <v>0</v>
      </c>
      <c r="M218" s="99">
        <v>4</v>
      </c>
      <c r="N218" s="99"/>
      <c r="O218" s="99" t="s">
        <v>1675</v>
      </c>
      <c r="P218" s="99" t="s">
        <v>1429</v>
      </c>
      <c r="Q218" s="99" t="s">
        <v>1429</v>
      </c>
      <c r="R218" s="99" t="s">
        <v>1666</v>
      </c>
      <c r="S218" s="99" t="s">
        <v>1453</v>
      </c>
      <c r="T218" s="99"/>
      <c r="U218" s="99"/>
      <c r="V218" s="99" t="s">
        <v>31</v>
      </c>
      <c r="W218" s="99" t="s">
        <v>32</v>
      </c>
      <c r="X218" s="99" t="s">
        <v>37</v>
      </c>
      <c r="Y218" s="99">
        <v>200</v>
      </c>
      <c r="Z218" s="99">
        <v>0</v>
      </c>
      <c r="AA218" s="99">
        <v>580</v>
      </c>
      <c r="AB218" s="99">
        <v>0</v>
      </c>
      <c r="AC218" s="99">
        <v>0</v>
      </c>
      <c r="AD218" s="99">
        <v>0</v>
      </c>
      <c r="AE218" s="99">
        <v>0</v>
      </c>
      <c r="AF218" s="99">
        <v>0</v>
      </c>
      <c r="AG218" s="99">
        <v>36</v>
      </c>
      <c r="AH218" s="352">
        <v>43221</v>
      </c>
      <c r="AI218" s="99">
        <v>24</v>
      </c>
      <c r="AJ218" s="99">
        <v>0</v>
      </c>
      <c r="AK218" s="99">
        <v>0</v>
      </c>
      <c r="AL218" s="99">
        <v>0</v>
      </c>
      <c r="AM218" s="99">
        <v>0</v>
      </c>
      <c r="AN218" s="99">
        <v>0</v>
      </c>
      <c r="AO218" s="99">
        <v>0</v>
      </c>
      <c r="AP218" s="99">
        <v>0</v>
      </c>
      <c r="AQ218" s="99"/>
      <c r="AR218" s="99">
        <v>0</v>
      </c>
      <c r="AS218" s="99">
        <v>36</v>
      </c>
      <c r="AT218" s="99">
        <v>164</v>
      </c>
      <c r="AU218" s="99" t="s">
        <v>1345</v>
      </c>
      <c r="AV218" s="99">
        <v>4</v>
      </c>
      <c r="AW218" s="99" t="s">
        <v>528</v>
      </c>
      <c r="AX218" s="99" t="s">
        <v>1044</v>
      </c>
    </row>
    <row r="219" spans="1:50" ht="18" customHeight="1" x14ac:dyDescent="0.25">
      <c r="A219" s="349" t="s">
        <v>424</v>
      </c>
      <c r="B219" s="99" t="s">
        <v>425</v>
      </c>
      <c r="C219" s="99" t="s">
        <v>30</v>
      </c>
      <c r="D219" s="99" t="s">
        <v>30</v>
      </c>
      <c r="E219" s="350">
        <v>41106</v>
      </c>
      <c r="F219" s="99" t="s">
        <v>1429</v>
      </c>
      <c r="G219" s="590" t="s">
        <v>126</v>
      </c>
      <c r="H219" s="99">
        <v>0</v>
      </c>
      <c r="I219" s="99"/>
      <c r="J219" s="99"/>
      <c r="K219" s="99" t="s">
        <v>1429</v>
      </c>
      <c r="L219" s="99">
        <v>0</v>
      </c>
      <c r="M219" s="352">
        <v>43344</v>
      </c>
      <c r="N219" s="99"/>
      <c r="O219" s="99" t="s">
        <v>1432</v>
      </c>
      <c r="P219" s="99" t="s">
        <v>37</v>
      </c>
      <c r="Q219" s="99" t="s">
        <v>1429</v>
      </c>
      <c r="R219" s="99" t="s">
        <v>1676</v>
      </c>
      <c r="S219" s="99">
        <v>3</v>
      </c>
      <c r="T219" s="99"/>
      <c r="U219" s="99"/>
      <c r="V219" s="99" t="s">
        <v>46</v>
      </c>
      <c r="W219" s="99" t="s">
        <v>32</v>
      </c>
      <c r="X219" s="99" t="s">
        <v>37</v>
      </c>
      <c r="Y219" s="99">
        <v>8500</v>
      </c>
      <c r="Z219" s="99">
        <v>1</v>
      </c>
      <c r="AA219" s="99">
        <v>580</v>
      </c>
      <c r="AB219" s="99">
        <v>0</v>
      </c>
      <c r="AC219" s="99">
        <v>1480</v>
      </c>
      <c r="AD219" s="99">
        <v>0</v>
      </c>
      <c r="AE219" s="99">
        <v>0</v>
      </c>
      <c r="AF219" s="99">
        <v>0</v>
      </c>
      <c r="AG219" s="99">
        <v>2243</v>
      </c>
      <c r="AH219" s="99">
        <v>20</v>
      </c>
      <c r="AI219" s="99">
        <v>24</v>
      </c>
      <c r="AJ219" s="99">
        <v>0</v>
      </c>
      <c r="AK219" s="99">
        <v>0</v>
      </c>
      <c r="AL219" s="99">
        <v>0</v>
      </c>
      <c r="AM219" s="99">
        <v>0</v>
      </c>
      <c r="AN219" s="99">
        <v>0</v>
      </c>
      <c r="AO219" s="99">
        <v>0</v>
      </c>
      <c r="AP219" s="99">
        <v>0</v>
      </c>
      <c r="AQ219" s="99" t="s">
        <v>47</v>
      </c>
      <c r="AR219" s="99">
        <v>1763</v>
      </c>
      <c r="AS219" s="99">
        <v>4303</v>
      </c>
      <c r="AT219" s="99">
        <v>4197</v>
      </c>
      <c r="AU219" s="99" t="s">
        <v>1345</v>
      </c>
      <c r="AV219" s="99">
        <v>170</v>
      </c>
      <c r="AW219" s="99" t="s">
        <v>527</v>
      </c>
      <c r="AX219" s="99" t="s">
        <v>1853</v>
      </c>
    </row>
    <row r="220" spans="1:50" ht="18" customHeight="1" x14ac:dyDescent="0.25">
      <c r="A220" s="349" t="s">
        <v>426</v>
      </c>
      <c r="B220" s="99" t="s">
        <v>427</v>
      </c>
      <c r="C220" s="99" t="s">
        <v>56</v>
      </c>
      <c r="D220" s="99" t="s">
        <v>56</v>
      </c>
      <c r="E220" s="350">
        <v>42251</v>
      </c>
      <c r="F220" s="99" t="s">
        <v>1429</v>
      </c>
      <c r="G220" s="590" t="s">
        <v>66</v>
      </c>
      <c r="H220" s="99">
        <v>240</v>
      </c>
      <c r="I220" s="351">
        <v>0.375</v>
      </c>
      <c r="J220" s="351">
        <v>0.70833333333333337</v>
      </c>
      <c r="K220" s="99" t="s">
        <v>1429</v>
      </c>
      <c r="L220" s="99" t="s">
        <v>1435</v>
      </c>
      <c r="M220" s="99">
        <v>0</v>
      </c>
      <c r="N220" s="99" t="s">
        <v>1446</v>
      </c>
      <c r="O220" s="99" t="s">
        <v>1432</v>
      </c>
      <c r="P220" s="99" t="s">
        <v>37</v>
      </c>
      <c r="Q220" s="99" t="s">
        <v>1429</v>
      </c>
      <c r="R220" s="99" t="s">
        <v>1677</v>
      </c>
      <c r="S220" s="99" t="s">
        <v>1444</v>
      </c>
      <c r="T220" s="99"/>
      <c r="U220" s="99"/>
      <c r="V220" s="99" t="s">
        <v>46</v>
      </c>
      <c r="W220" s="99" t="s">
        <v>32</v>
      </c>
      <c r="X220" s="99" t="s">
        <v>37</v>
      </c>
      <c r="Y220" s="99">
        <v>5000</v>
      </c>
      <c r="Z220" s="99">
        <v>1</v>
      </c>
      <c r="AA220" s="99">
        <v>580</v>
      </c>
      <c r="AB220" s="99">
        <v>0</v>
      </c>
      <c r="AC220" s="99">
        <v>1480</v>
      </c>
      <c r="AD220" s="99">
        <v>0</v>
      </c>
      <c r="AE220" s="99">
        <v>0</v>
      </c>
      <c r="AF220" s="99">
        <v>0</v>
      </c>
      <c r="AG220" s="99">
        <v>1883</v>
      </c>
      <c r="AH220" s="99">
        <v>5</v>
      </c>
      <c r="AI220" s="99">
        <v>24</v>
      </c>
      <c r="AJ220" s="99">
        <v>0</v>
      </c>
      <c r="AK220" s="99">
        <v>0</v>
      </c>
      <c r="AL220" s="99">
        <v>0</v>
      </c>
      <c r="AM220" s="99">
        <v>0</v>
      </c>
      <c r="AN220" s="99">
        <v>0</v>
      </c>
      <c r="AO220" s="99">
        <v>0</v>
      </c>
      <c r="AP220" s="99">
        <v>0</v>
      </c>
      <c r="AQ220" s="99" t="s">
        <v>47</v>
      </c>
      <c r="AR220" s="99">
        <v>1763</v>
      </c>
      <c r="AS220" s="99">
        <v>3943</v>
      </c>
      <c r="AT220" s="99">
        <v>1057</v>
      </c>
      <c r="AU220" s="99" t="s">
        <v>1345</v>
      </c>
      <c r="AV220" s="99">
        <v>100</v>
      </c>
      <c r="AW220" s="99" t="s">
        <v>527</v>
      </c>
      <c r="AX220" s="99" t="s">
        <v>1854</v>
      </c>
    </row>
    <row r="221" spans="1:50" ht="18" customHeight="1" x14ac:dyDescent="0.25">
      <c r="A221" s="349" t="s">
        <v>796</v>
      </c>
      <c r="B221" s="99" t="s">
        <v>797</v>
      </c>
      <c r="C221" s="99" t="s">
        <v>45</v>
      </c>
      <c r="D221" s="99" t="s">
        <v>45</v>
      </c>
      <c r="E221" s="350">
        <v>40780</v>
      </c>
      <c r="F221" s="99" t="s">
        <v>1429</v>
      </c>
      <c r="G221" s="590" t="s">
        <v>45</v>
      </c>
      <c r="H221" s="99">
        <v>120</v>
      </c>
      <c r="I221" s="351">
        <v>0.375</v>
      </c>
      <c r="J221" s="351">
        <v>0.70833333333333337</v>
      </c>
      <c r="K221" s="99" t="s">
        <v>1429</v>
      </c>
      <c r="L221" s="99" t="s">
        <v>1435</v>
      </c>
      <c r="M221" s="99">
        <v>0</v>
      </c>
      <c r="N221" s="99"/>
      <c r="O221" s="99" t="s">
        <v>1432</v>
      </c>
      <c r="P221" s="99" t="s">
        <v>37</v>
      </c>
      <c r="Q221" s="99" t="s">
        <v>1429</v>
      </c>
      <c r="R221" s="99"/>
      <c r="S221" s="99" t="s">
        <v>1444</v>
      </c>
      <c r="T221" s="99"/>
      <c r="U221" s="99"/>
      <c r="V221" s="99" t="s">
        <v>31</v>
      </c>
      <c r="W221" s="99" t="s">
        <v>32</v>
      </c>
      <c r="X221" s="99" t="s">
        <v>37</v>
      </c>
      <c r="Y221" s="99">
        <v>2500</v>
      </c>
      <c r="Z221" s="99"/>
      <c r="AA221" s="99">
        <v>580</v>
      </c>
      <c r="AB221" s="99">
        <v>0</v>
      </c>
      <c r="AC221" s="99">
        <v>0</v>
      </c>
      <c r="AD221" s="99">
        <v>0</v>
      </c>
      <c r="AE221" s="99">
        <v>0</v>
      </c>
      <c r="AF221" s="99">
        <v>0</v>
      </c>
      <c r="AG221" s="99">
        <v>48</v>
      </c>
      <c r="AH221" s="99">
        <v>2</v>
      </c>
      <c r="AI221" s="99">
        <v>24</v>
      </c>
      <c r="AJ221" s="99">
        <v>0</v>
      </c>
      <c r="AK221" s="99">
        <v>0</v>
      </c>
      <c r="AL221" s="99">
        <v>0</v>
      </c>
      <c r="AM221" s="99">
        <v>0</v>
      </c>
      <c r="AN221" s="99">
        <v>0</v>
      </c>
      <c r="AO221" s="99">
        <v>0</v>
      </c>
      <c r="AP221" s="99">
        <v>0</v>
      </c>
      <c r="AQ221" s="99"/>
      <c r="AR221" s="99">
        <v>0</v>
      </c>
      <c r="AS221" s="99">
        <v>48</v>
      </c>
      <c r="AT221" s="99">
        <v>2452</v>
      </c>
      <c r="AU221" s="99" t="s">
        <v>1345</v>
      </c>
      <c r="AV221" s="99">
        <v>50</v>
      </c>
      <c r="AW221" s="99" t="s">
        <v>530</v>
      </c>
      <c r="AX221" s="99" t="s">
        <v>1040</v>
      </c>
    </row>
    <row r="222" spans="1:50" ht="18" customHeight="1" x14ac:dyDescent="0.25">
      <c r="A222" s="349" t="s">
        <v>1678</v>
      </c>
      <c r="B222" s="99" t="s">
        <v>1679</v>
      </c>
      <c r="C222" s="99" t="s">
        <v>56</v>
      </c>
      <c r="D222" s="99" t="s">
        <v>56</v>
      </c>
      <c r="E222" s="350">
        <v>42856</v>
      </c>
      <c r="F222" s="99" t="s">
        <v>1429</v>
      </c>
      <c r="G222" s="590" t="s">
        <v>66</v>
      </c>
      <c r="H222" s="99">
        <v>240</v>
      </c>
      <c r="I222" s="351">
        <v>0.375</v>
      </c>
      <c r="J222" s="351">
        <v>0.70833333333333337</v>
      </c>
      <c r="K222" s="99" t="s">
        <v>1429</v>
      </c>
      <c r="L222" s="99" t="s">
        <v>1435</v>
      </c>
      <c r="M222" s="99" t="s">
        <v>1680</v>
      </c>
      <c r="N222" s="99" t="s">
        <v>1681</v>
      </c>
      <c r="O222" s="99" t="s">
        <v>1524</v>
      </c>
      <c r="P222" s="99" t="s">
        <v>37</v>
      </c>
      <c r="Q222" s="99" t="s">
        <v>1429</v>
      </c>
      <c r="R222" s="99" t="s">
        <v>1682</v>
      </c>
      <c r="S222" s="99" t="s">
        <v>1444</v>
      </c>
      <c r="T222" s="350">
        <v>44316</v>
      </c>
      <c r="U222" s="99"/>
      <c r="V222" s="99" t="s">
        <v>46</v>
      </c>
      <c r="W222" s="99" t="s">
        <v>32</v>
      </c>
      <c r="X222" s="99" t="s">
        <v>37</v>
      </c>
      <c r="Y222" s="99">
        <v>10000</v>
      </c>
      <c r="Z222" s="99">
        <v>2</v>
      </c>
      <c r="AA222" s="99">
        <v>580</v>
      </c>
      <c r="AB222" s="99">
        <v>0</v>
      </c>
      <c r="AC222" s="99">
        <v>1480</v>
      </c>
      <c r="AD222" s="99">
        <v>0</v>
      </c>
      <c r="AE222" s="99">
        <v>0</v>
      </c>
      <c r="AF222" s="99">
        <v>0</v>
      </c>
      <c r="AG222" s="99">
        <v>4163</v>
      </c>
      <c r="AH222" s="99">
        <v>100</v>
      </c>
      <c r="AI222" s="99">
        <v>24</v>
      </c>
      <c r="AJ222" s="99">
        <v>0</v>
      </c>
      <c r="AK222" s="99">
        <v>0</v>
      </c>
      <c r="AL222" s="99">
        <v>0</v>
      </c>
      <c r="AM222" s="99">
        <v>0</v>
      </c>
      <c r="AN222" s="99">
        <v>0</v>
      </c>
      <c r="AO222" s="99">
        <v>0</v>
      </c>
      <c r="AP222" s="99">
        <v>0</v>
      </c>
      <c r="AQ222" s="99" t="s">
        <v>576</v>
      </c>
      <c r="AR222" s="99">
        <v>1763</v>
      </c>
      <c r="AS222" s="99">
        <v>6803</v>
      </c>
      <c r="AT222" s="99">
        <v>3197</v>
      </c>
      <c r="AU222" s="99" t="s">
        <v>1345</v>
      </c>
      <c r="AV222" s="99">
        <v>200</v>
      </c>
      <c r="AW222" s="99" t="s">
        <v>527</v>
      </c>
      <c r="AX222" s="99" t="s">
        <v>1838</v>
      </c>
    </row>
    <row r="223" spans="1:50" ht="18" customHeight="1" x14ac:dyDescent="0.25">
      <c r="A223" s="349" t="s">
        <v>431</v>
      </c>
      <c r="B223" s="99" t="s">
        <v>432</v>
      </c>
      <c r="C223" s="99" t="s">
        <v>40</v>
      </c>
      <c r="D223" s="99" t="s">
        <v>30</v>
      </c>
      <c r="E223" s="350">
        <v>40329</v>
      </c>
      <c r="F223" s="99" t="s">
        <v>1429</v>
      </c>
      <c r="G223" s="590" t="s">
        <v>40</v>
      </c>
      <c r="H223" s="99">
        <v>0</v>
      </c>
      <c r="I223" s="351">
        <v>0.375</v>
      </c>
      <c r="J223" s="351">
        <v>0.70833333333333337</v>
      </c>
      <c r="K223" s="99" t="s">
        <v>1429</v>
      </c>
      <c r="L223" s="99" t="s">
        <v>1435</v>
      </c>
      <c r="M223" s="352">
        <v>43256</v>
      </c>
      <c r="N223" s="99"/>
      <c r="O223" s="99" t="s">
        <v>1432</v>
      </c>
      <c r="P223" s="99" t="s">
        <v>1429</v>
      </c>
      <c r="Q223" s="99" t="s">
        <v>1429</v>
      </c>
      <c r="R223" s="99" t="s">
        <v>1683</v>
      </c>
      <c r="S223" s="99"/>
      <c r="T223" s="350">
        <v>43281</v>
      </c>
      <c r="U223" s="99"/>
      <c r="V223" s="99" t="s">
        <v>31</v>
      </c>
      <c r="W223" s="99" t="s">
        <v>32</v>
      </c>
      <c r="X223" s="99" t="s">
        <v>37</v>
      </c>
      <c r="Y223" s="99">
        <v>1500</v>
      </c>
      <c r="Z223" s="99">
        <v>0</v>
      </c>
      <c r="AA223" s="99">
        <v>580</v>
      </c>
      <c r="AB223" s="99">
        <v>0</v>
      </c>
      <c r="AC223" s="99">
        <v>0</v>
      </c>
      <c r="AD223" s="99">
        <v>0</v>
      </c>
      <c r="AE223" s="99">
        <v>0</v>
      </c>
      <c r="AF223" s="99">
        <v>0</v>
      </c>
      <c r="AG223" s="99">
        <v>2003</v>
      </c>
      <c r="AH223" s="99">
        <v>10</v>
      </c>
      <c r="AI223" s="99">
        <v>24</v>
      </c>
      <c r="AJ223" s="99">
        <v>0</v>
      </c>
      <c r="AK223" s="99">
        <v>0</v>
      </c>
      <c r="AL223" s="99">
        <v>0</v>
      </c>
      <c r="AM223" s="99">
        <v>0</v>
      </c>
      <c r="AN223" s="99">
        <v>0</v>
      </c>
      <c r="AO223" s="99">
        <v>0</v>
      </c>
      <c r="AP223" s="99">
        <v>0</v>
      </c>
      <c r="AQ223" s="99"/>
      <c r="AR223" s="99">
        <v>1763</v>
      </c>
      <c r="AS223" s="99">
        <v>2003</v>
      </c>
      <c r="AT223" s="99">
        <v>-503</v>
      </c>
      <c r="AU223" s="99" t="s">
        <v>1345</v>
      </c>
      <c r="AV223" s="99">
        <v>30</v>
      </c>
      <c r="AW223" s="99" t="s">
        <v>530</v>
      </c>
      <c r="AX223" s="99" t="s">
        <v>1043</v>
      </c>
    </row>
    <row r="224" spans="1:50" ht="18" customHeight="1" x14ac:dyDescent="0.25">
      <c r="A224" s="349" t="s">
        <v>433</v>
      </c>
      <c r="B224" s="99" t="s">
        <v>434</v>
      </c>
      <c r="C224" s="99" t="s">
        <v>40</v>
      </c>
      <c r="D224" s="99" t="s">
        <v>30</v>
      </c>
      <c r="E224" s="350">
        <v>41730</v>
      </c>
      <c r="F224" s="99" t="s">
        <v>1429</v>
      </c>
      <c r="G224" s="590" t="s">
        <v>40</v>
      </c>
      <c r="H224" s="99">
        <v>120</v>
      </c>
      <c r="I224" s="351">
        <v>0.375</v>
      </c>
      <c r="J224" s="351">
        <v>0.70833333333333337</v>
      </c>
      <c r="K224" s="99" t="s">
        <v>1429</v>
      </c>
      <c r="L224" s="99" t="s">
        <v>1435</v>
      </c>
      <c r="M224" s="352">
        <v>43271</v>
      </c>
      <c r="N224" s="99" t="s">
        <v>1684</v>
      </c>
      <c r="O224" s="99" t="s">
        <v>1432</v>
      </c>
      <c r="P224" s="99" t="s">
        <v>37</v>
      </c>
      <c r="Q224" s="99" t="s">
        <v>1429</v>
      </c>
      <c r="R224" s="99" t="s">
        <v>1664</v>
      </c>
      <c r="S224" s="99" t="s">
        <v>1444</v>
      </c>
      <c r="T224" s="99"/>
      <c r="U224" s="99"/>
      <c r="V224" s="99" t="s">
        <v>71</v>
      </c>
      <c r="W224" s="99" t="s">
        <v>32</v>
      </c>
      <c r="X224" s="99" t="s">
        <v>37</v>
      </c>
      <c r="Y224" s="99">
        <v>248</v>
      </c>
      <c r="Z224" s="99"/>
      <c r="AA224" s="99">
        <v>580</v>
      </c>
      <c r="AB224" s="99">
        <v>0</v>
      </c>
      <c r="AC224" s="99">
        <v>0</v>
      </c>
      <c r="AD224" s="99">
        <v>0</v>
      </c>
      <c r="AE224" s="99">
        <v>0</v>
      </c>
      <c r="AF224" s="99">
        <v>0</v>
      </c>
      <c r="AG224" s="99">
        <v>24</v>
      </c>
      <c r="AH224" s="99">
        <v>1</v>
      </c>
      <c r="AI224" s="99">
        <v>24</v>
      </c>
      <c r="AJ224" s="99">
        <v>0</v>
      </c>
      <c r="AK224" s="99">
        <v>0</v>
      </c>
      <c r="AL224" s="99">
        <v>0</v>
      </c>
      <c r="AM224" s="99">
        <v>0</v>
      </c>
      <c r="AN224" s="99">
        <v>0</v>
      </c>
      <c r="AO224" s="99">
        <v>0</v>
      </c>
      <c r="AP224" s="99">
        <v>0</v>
      </c>
      <c r="AQ224" s="99"/>
      <c r="AR224" s="99">
        <v>0</v>
      </c>
      <c r="AS224" s="99">
        <v>24</v>
      </c>
      <c r="AT224" s="99">
        <v>224</v>
      </c>
      <c r="AU224" s="99" t="s">
        <v>1345</v>
      </c>
      <c r="AV224" s="99">
        <v>4.96</v>
      </c>
      <c r="AW224" s="99" t="s">
        <v>528</v>
      </c>
      <c r="AX224" s="99" t="s">
        <v>1041</v>
      </c>
    </row>
    <row r="225" spans="1:50" ht="18" customHeight="1" x14ac:dyDescent="0.25">
      <c r="A225" s="349" t="s">
        <v>435</v>
      </c>
      <c r="B225" s="99" t="s">
        <v>436</v>
      </c>
      <c r="C225" s="99" t="s">
        <v>35</v>
      </c>
      <c r="D225" s="99" t="s">
        <v>35</v>
      </c>
      <c r="E225" s="350">
        <v>40871</v>
      </c>
      <c r="F225" s="99" t="s">
        <v>37</v>
      </c>
      <c r="G225" s="590" t="s">
        <v>44</v>
      </c>
      <c r="H225" s="99">
        <v>240</v>
      </c>
      <c r="I225" s="351">
        <v>0.375</v>
      </c>
      <c r="J225" s="351">
        <v>0.70833333333333337</v>
      </c>
      <c r="K225" s="99" t="s">
        <v>1429</v>
      </c>
      <c r="L225" s="99" t="s">
        <v>1435</v>
      </c>
      <c r="M225" s="352">
        <v>43274</v>
      </c>
      <c r="N225" s="99" t="s">
        <v>1446</v>
      </c>
      <c r="O225" s="99" t="s">
        <v>1432</v>
      </c>
      <c r="P225" s="99" t="s">
        <v>37</v>
      </c>
      <c r="Q225" s="99" t="s">
        <v>1429</v>
      </c>
      <c r="R225" s="99" t="s">
        <v>1685</v>
      </c>
      <c r="S225" s="99" t="s">
        <v>1444</v>
      </c>
      <c r="T225" s="99"/>
      <c r="U225" s="99"/>
      <c r="V225" s="99" t="s">
        <v>46</v>
      </c>
      <c r="W225" s="99" t="s">
        <v>32</v>
      </c>
      <c r="X225" s="99" t="s">
        <v>37</v>
      </c>
      <c r="Y225" s="99">
        <v>8100</v>
      </c>
      <c r="Z225" s="99">
        <v>1</v>
      </c>
      <c r="AA225" s="99">
        <v>580</v>
      </c>
      <c r="AB225" s="99">
        <v>0</v>
      </c>
      <c r="AC225" s="99">
        <v>1480</v>
      </c>
      <c r="AD225" s="99">
        <v>0</v>
      </c>
      <c r="AE225" s="99">
        <v>0</v>
      </c>
      <c r="AF225" s="99">
        <v>0</v>
      </c>
      <c r="AG225" s="99">
        <v>2483</v>
      </c>
      <c r="AH225" s="99">
        <v>30</v>
      </c>
      <c r="AI225" s="99">
        <v>24</v>
      </c>
      <c r="AJ225" s="99">
        <v>0</v>
      </c>
      <c r="AK225" s="99">
        <v>0</v>
      </c>
      <c r="AL225" s="99">
        <v>0</v>
      </c>
      <c r="AM225" s="99">
        <v>0</v>
      </c>
      <c r="AN225" s="99">
        <v>0</v>
      </c>
      <c r="AO225" s="99">
        <v>0</v>
      </c>
      <c r="AP225" s="99">
        <v>0</v>
      </c>
      <c r="AQ225" s="99" t="s">
        <v>47</v>
      </c>
      <c r="AR225" s="99">
        <v>1763</v>
      </c>
      <c r="AS225" s="99">
        <v>4543</v>
      </c>
      <c r="AT225" s="99">
        <v>3557</v>
      </c>
      <c r="AU225" s="99" t="s">
        <v>1345</v>
      </c>
      <c r="AV225" s="99">
        <v>162</v>
      </c>
      <c r="AW225" s="99" t="s">
        <v>527</v>
      </c>
      <c r="AX225" s="99" t="s">
        <v>1795</v>
      </c>
    </row>
    <row r="226" spans="1:50" ht="18" customHeight="1" x14ac:dyDescent="0.25">
      <c r="A226" s="349" t="s">
        <v>437</v>
      </c>
      <c r="B226" s="99" t="s">
        <v>438</v>
      </c>
      <c r="C226" s="99" t="s">
        <v>139</v>
      </c>
      <c r="D226" s="99" t="s">
        <v>45</v>
      </c>
      <c r="E226" s="350">
        <v>40135</v>
      </c>
      <c r="F226" s="99" t="s">
        <v>1429</v>
      </c>
      <c r="G226" s="590" t="s">
        <v>139</v>
      </c>
      <c r="H226" s="99">
        <v>120</v>
      </c>
      <c r="I226" s="351">
        <v>0.375</v>
      </c>
      <c r="J226" s="351">
        <v>0.70833333333333337</v>
      </c>
      <c r="K226" s="99" t="s">
        <v>1429</v>
      </c>
      <c r="L226" s="99" t="s">
        <v>1435</v>
      </c>
      <c r="M226" s="352">
        <v>43252</v>
      </c>
      <c r="N226" s="99" t="s">
        <v>1686</v>
      </c>
      <c r="O226" s="99" t="s">
        <v>1432</v>
      </c>
      <c r="P226" s="99" t="s">
        <v>37</v>
      </c>
      <c r="Q226" s="99" t="s">
        <v>1429</v>
      </c>
      <c r="R226" s="99" t="s">
        <v>1687</v>
      </c>
      <c r="S226" s="99" t="s">
        <v>1444</v>
      </c>
      <c r="T226" s="99"/>
      <c r="U226" s="99"/>
      <c r="V226" s="99" t="s">
        <v>439</v>
      </c>
      <c r="W226" s="99" t="s">
        <v>32</v>
      </c>
      <c r="X226" s="99" t="s">
        <v>37</v>
      </c>
      <c r="Y226" s="99">
        <v>400</v>
      </c>
      <c r="Z226" s="99">
        <v>0</v>
      </c>
      <c r="AA226" s="99">
        <v>580</v>
      </c>
      <c r="AB226" s="99">
        <v>0</v>
      </c>
      <c r="AC226" s="99">
        <v>0</v>
      </c>
      <c r="AD226" s="99">
        <v>0</v>
      </c>
      <c r="AE226" s="99">
        <v>0</v>
      </c>
      <c r="AF226" s="99">
        <v>0</v>
      </c>
      <c r="AG226" s="99">
        <v>2003</v>
      </c>
      <c r="AH226" s="99">
        <v>10</v>
      </c>
      <c r="AI226" s="99">
        <v>24</v>
      </c>
      <c r="AJ226" s="99">
        <v>0</v>
      </c>
      <c r="AK226" s="99">
        <v>0</v>
      </c>
      <c r="AL226" s="99">
        <v>0</v>
      </c>
      <c r="AM226" s="99">
        <v>0</v>
      </c>
      <c r="AN226" s="99">
        <v>0</v>
      </c>
      <c r="AO226" s="99">
        <v>0</v>
      </c>
      <c r="AP226" s="99">
        <v>0</v>
      </c>
      <c r="AQ226" s="99"/>
      <c r="AR226" s="99">
        <v>1763</v>
      </c>
      <c r="AS226" s="99">
        <v>2003</v>
      </c>
      <c r="AT226" s="99">
        <v>-1603</v>
      </c>
      <c r="AU226" s="99" t="s">
        <v>1345</v>
      </c>
      <c r="AV226" s="99">
        <v>8</v>
      </c>
      <c r="AW226" s="99" t="s">
        <v>530</v>
      </c>
      <c r="AX226" s="99" t="s">
        <v>1188</v>
      </c>
    </row>
    <row r="227" spans="1:50" ht="18" customHeight="1" x14ac:dyDescent="0.25">
      <c r="A227" s="349" t="s">
        <v>440</v>
      </c>
      <c r="B227" s="99" t="s">
        <v>441</v>
      </c>
      <c r="C227" s="99" t="s">
        <v>30</v>
      </c>
      <c r="D227" s="99" t="s">
        <v>30</v>
      </c>
      <c r="E227" s="350">
        <v>40451</v>
      </c>
      <c r="F227" s="99" t="s">
        <v>1429</v>
      </c>
      <c r="G227" s="590" t="s">
        <v>52</v>
      </c>
      <c r="H227" s="99">
        <v>240</v>
      </c>
      <c r="I227" s="351">
        <v>0.375</v>
      </c>
      <c r="J227" s="351">
        <v>0.70833333333333337</v>
      </c>
      <c r="K227" s="99" t="s">
        <v>1429</v>
      </c>
      <c r="L227" s="99">
        <v>0</v>
      </c>
      <c r="M227" s="99">
        <v>0</v>
      </c>
      <c r="N227" s="99" t="s">
        <v>1688</v>
      </c>
      <c r="O227" s="99" t="s">
        <v>1432</v>
      </c>
      <c r="P227" s="99" t="s">
        <v>37</v>
      </c>
      <c r="Q227" s="99" t="s">
        <v>37</v>
      </c>
      <c r="R227" s="99" t="s">
        <v>1689</v>
      </c>
      <c r="S227" s="99" t="s">
        <v>1453</v>
      </c>
      <c r="T227" s="99"/>
      <c r="U227" s="99"/>
      <c r="V227" s="99" t="s">
        <v>31</v>
      </c>
      <c r="W227" s="99" t="s">
        <v>32</v>
      </c>
      <c r="X227" s="99" t="s">
        <v>37</v>
      </c>
      <c r="Y227" s="99">
        <v>1500</v>
      </c>
      <c r="Z227" s="99">
        <v>1</v>
      </c>
      <c r="AA227" s="99">
        <v>580</v>
      </c>
      <c r="AB227" s="99">
        <v>0</v>
      </c>
      <c r="AC227" s="99">
        <v>0</v>
      </c>
      <c r="AD227" s="99">
        <v>0</v>
      </c>
      <c r="AE227" s="99">
        <v>0</v>
      </c>
      <c r="AF227" s="99">
        <v>0</v>
      </c>
      <c r="AG227" s="99">
        <v>240</v>
      </c>
      <c r="AH227" s="99">
        <v>10</v>
      </c>
      <c r="AI227" s="99">
        <v>24</v>
      </c>
      <c r="AJ227" s="99">
        <v>0</v>
      </c>
      <c r="AK227" s="99">
        <v>0</v>
      </c>
      <c r="AL227" s="99">
        <v>0</v>
      </c>
      <c r="AM227" s="99">
        <v>0</v>
      </c>
      <c r="AN227" s="99">
        <v>0</v>
      </c>
      <c r="AO227" s="99">
        <v>0</v>
      </c>
      <c r="AP227" s="99">
        <v>0</v>
      </c>
      <c r="AQ227" s="99"/>
      <c r="AR227" s="99">
        <v>0</v>
      </c>
      <c r="AS227" s="99">
        <v>820</v>
      </c>
      <c r="AT227" s="99">
        <v>680</v>
      </c>
      <c r="AU227" s="99" t="s">
        <v>1345</v>
      </c>
      <c r="AV227" s="99">
        <v>30</v>
      </c>
      <c r="AW227" s="99" t="s">
        <v>528</v>
      </c>
      <c r="AX227" s="99" t="s">
        <v>1786</v>
      </c>
    </row>
    <row r="228" spans="1:50" ht="18" customHeight="1" x14ac:dyDescent="0.25">
      <c r="A228" s="349" t="s">
        <v>798</v>
      </c>
      <c r="B228" s="99" t="s">
        <v>799</v>
      </c>
      <c r="C228" s="99" t="s">
        <v>56</v>
      </c>
      <c r="D228" s="99" t="s">
        <v>56</v>
      </c>
      <c r="E228" s="350">
        <v>42578</v>
      </c>
      <c r="F228" s="99" t="s">
        <v>37</v>
      </c>
      <c r="G228" s="590" t="s">
        <v>544</v>
      </c>
      <c r="H228" s="99">
        <v>240</v>
      </c>
      <c r="I228" s="351">
        <v>0.375</v>
      </c>
      <c r="J228" s="351">
        <v>0.70833333333333337</v>
      </c>
      <c r="K228" s="99" t="s">
        <v>1429</v>
      </c>
      <c r="L228" s="99" t="s">
        <v>1435</v>
      </c>
      <c r="M228" s="99">
        <v>1</v>
      </c>
      <c r="N228" s="99" t="s">
        <v>1446</v>
      </c>
      <c r="O228" s="99" t="s">
        <v>1451</v>
      </c>
      <c r="P228" s="99" t="s">
        <v>37</v>
      </c>
      <c r="Q228" s="99" t="s">
        <v>1429</v>
      </c>
      <c r="R228" s="99" t="s">
        <v>1690</v>
      </c>
      <c r="S228" s="99" t="s">
        <v>1691</v>
      </c>
      <c r="T228" s="99"/>
      <c r="U228" s="99"/>
      <c r="V228" s="99" t="s">
        <v>46</v>
      </c>
      <c r="W228" s="99" t="s">
        <v>32</v>
      </c>
      <c r="X228" s="99" t="s">
        <v>37</v>
      </c>
      <c r="Y228" s="99">
        <v>5000</v>
      </c>
      <c r="Z228" s="99">
        <v>1</v>
      </c>
      <c r="AA228" s="99">
        <v>580</v>
      </c>
      <c r="AB228" s="99">
        <v>0</v>
      </c>
      <c r="AC228" s="99">
        <v>1480</v>
      </c>
      <c r="AD228" s="99">
        <v>0</v>
      </c>
      <c r="AE228" s="99">
        <v>0</v>
      </c>
      <c r="AF228" s="99">
        <v>0</v>
      </c>
      <c r="AG228" s="99">
        <v>2003</v>
      </c>
      <c r="AH228" s="99">
        <v>10</v>
      </c>
      <c r="AI228" s="99">
        <v>24</v>
      </c>
      <c r="AJ228" s="99">
        <v>0</v>
      </c>
      <c r="AK228" s="99">
        <v>0</v>
      </c>
      <c r="AL228" s="99">
        <v>0</v>
      </c>
      <c r="AM228" s="99">
        <v>0</v>
      </c>
      <c r="AN228" s="99">
        <v>0</v>
      </c>
      <c r="AO228" s="99">
        <v>0</v>
      </c>
      <c r="AP228" s="99">
        <v>0</v>
      </c>
      <c r="AQ228" s="99"/>
      <c r="AR228" s="99">
        <v>1763</v>
      </c>
      <c r="AS228" s="99">
        <v>4063</v>
      </c>
      <c r="AT228" s="99">
        <v>937</v>
      </c>
      <c r="AU228" s="99" t="s">
        <v>1345</v>
      </c>
      <c r="AV228" s="99">
        <v>100</v>
      </c>
      <c r="AW228" s="99" t="s">
        <v>527</v>
      </c>
      <c r="AX228" s="99" t="s">
        <v>1424</v>
      </c>
    </row>
    <row r="229" spans="1:50" ht="18" customHeight="1" x14ac:dyDescent="0.25">
      <c r="A229" s="349" t="s">
        <v>442</v>
      </c>
      <c r="B229" s="99" t="s">
        <v>443</v>
      </c>
      <c r="C229" s="99" t="s">
        <v>35</v>
      </c>
      <c r="D229" s="99" t="s">
        <v>35</v>
      </c>
      <c r="E229" s="350">
        <v>40651</v>
      </c>
      <c r="F229" s="99" t="s">
        <v>37</v>
      </c>
      <c r="G229" s="590" t="s">
        <v>52</v>
      </c>
      <c r="H229" s="99">
        <v>120</v>
      </c>
      <c r="I229" s="351">
        <v>0.375</v>
      </c>
      <c r="J229" s="351">
        <v>0.70833333333333337</v>
      </c>
      <c r="K229" s="99" t="s">
        <v>1429</v>
      </c>
      <c r="L229" s="99" t="s">
        <v>1435</v>
      </c>
      <c r="M229" s="99" t="s">
        <v>1579</v>
      </c>
      <c r="N229" s="99" t="s">
        <v>1692</v>
      </c>
      <c r="O229" s="99" t="s">
        <v>1432</v>
      </c>
      <c r="P229" s="99" t="s">
        <v>37</v>
      </c>
      <c r="Q229" s="99" t="s">
        <v>1429</v>
      </c>
      <c r="R229" s="99" t="s">
        <v>1693</v>
      </c>
      <c r="S229" s="99" t="s">
        <v>1444</v>
      </c>
      <c r="T229" s="99"/>
      <c r="U229" s="99" t="s">
        <v>36</v>
      </c>
      <c r="V229" s="99" t="s">
        <v>46</v>
      </c>
      <c r="W229" s="99" t="s">
        <v>32</v>
      </c>
      <c r="X229" s="99" t="s">
        <v>37</v>
      </c>
      <c r="Y229" s="99">
        <v>8112</v>
      </c>
      <c r="Z229" s="99">
        <v>1</v>
      </c>
      <c r="AA229" s="99">
        <v>580</v>
      </c>
      <c r="AB229" s="99">
        <v>0</v>
      </c>
      <c r="AC229" s="99">
        <v>1480</v>
      </c>
      <c r="AD229" s="99">
        <v>0</v>
      </c>
      <c r="AE229" s="99">
        <v>0</v>
      </c>
      <c r="AF229" s="99">
        <v>0</v>
      </c>
      <c r="AG229" s="99">
        <v>2003</v>
      </c>
      <c r="AH229" s="99">
        <v>10</v>
      </c>
      <c r="AI229" s="99">
        <v>24</v>
      </c>
      <c r="AJ229" s="99">
        <v>0</v>
      </c>
      <c r="AK229" s="99">
        <v>0</v>
      </c>
      <c r="AL229" s="99">
        <v>0</v>
      </c>
      <c r="AM229" s="99">
        <v>0</v>
      </c>
      <c r="AN229" s="99">
        <v>0</v>
      </c>
      <c r="AO229" s="99">
        <v>0</v>
      </c>
      <c r="AP229" s="99">
        <v>0</v>
      </c>
      <c r="AQ229" s="99" t="s">
        <v>47</v>
      </c>
      <c r="AR229" s="99">
        <v>1763</v>
      </c>
      <c r="AS229" s="99">
        <v>4063</v>
      </c>
      <c r="AT229" s="99">
        <v>4049</v>
      </c>
      <c r="AU229" s="99" t="s">
        <v>1345</v>
      </c>
      <c r="AV229" s="99">
        <v>162.24</v>
      </c>
      <c r="AW229" s="99" t="s">
        <v>527</v>
      </c>
      <c r="AX229" s="99" t="s">
        <v>1838</v>
      </c>
    </row>
    <row r="230" spans="1:50" ht="18" customHeight="1" x14ac:dyDescent="0.25">
      <c r="A230" s="349" t="s">
        <v>444</v>
      </c>
      <c r="B230" s="99" t="s">
        <v>445</v>
      </c>
      <c r="C230" s="99" t="s">
        <v>35</v>
      </c>
      <c r="D230" s="99" t="s">
        <v>35</v>
      </c>
      <c r="E230" s="350">
        <v>41207</v>
      </c>
      <c r="F230" s="99" t="s">
        <v>37</v>
      </c>
      <c r="G230" s="590" t="s">
        <v>272</v>
      </c>
      <c r="H230" s="99">
        <v>120</v>
      </c>
      <c r="I230" s="351">
        <v>0.375</v>
      </c>
      <c r="J230" s="351">
        <v>0.70833333333333337</v>
      </c>
      <c r="K230" s="99" t="s">
        <v>1429</v>
      </c>
      <c r="L230" s="99" t="s">
        <v>1435</v>
      </c>
      <c r="M230" s="352">
        <v>43144</v>
      </c>
      <c r="N230" s="99" t="s">
        <v>1446</v>
      </c>
      <c r="O230" s="99" t="s">
        <v>1432</v>
      </c>
      <c r="P230" s="99" t="s">
        <v>37</v>
      </c>
      <c r="Q230" s="99" t="s">
        <v>1429</v>
      </c>
      <c r="R230" s="99" t="s">
        <v>1694</v>
      </c>
      <c r="S230" s="99" t="s">
        <v>1453</v>
      </c>
      <c r="T230" s="99"/>
      <c r="U230" s="99"/>
      <c r="V230" s="99" t="s">
        <v>46</v>
      </c>
      <c r="W230" s="99" t="s">
        <v>32</v>
      </c>
      <c r="X230" s="99" t="s">
        <v>37</v>
      </c>
      <c r="Y230" s="99">
        <v>5237</v>
      </c>
      <c r="Z230" s="99">
        <v>1</v>
      </c>
      <c r="AA230" s="99">
        <v>580</v>
      </c>
      <c r="AB230" s="99">
        <v>0</v>
      </c>
      <c r="AC230" s="99">
        <v>1480</v>
      </c>
      <c r="AD230" s="99">
        <v>0</v>
      </c>
      <c r="AE230" s="99">
        <v>0</v>
      </c>
      <c r="AF230" s="99">
        <v>0</v>
      </c>
      <c r="AG230" s="99">
        <v>2003</v>
      </c>
      <c r="AH230" s="99">
        <v>10</v>
      </c>
      <c r="AI230" s="99">
        <v>24</v>
      </c>
      <c r="AJ230" s="99">
        <v>0</v>
      </c>
      <c r="AK230" s="99">
        <v>0</v>
      </c>
      <c r="AL230" s="99">
        <v>0</v>
      </c>
      <c r="AM230" s="99">
        <v>0</v>
      </c>
      <c r="AN230" s="99">
        <v>0</v>
      </c>
      <c r="AO230" s="99">
        <v>0</v>
      </c>
      <c r="AP230" s="99">
        <v>0</v>
      </c>
      <c r="AQ230" s="99" t="s">
        <v>47</v>
      </c>
      <c r="AR230" s="99">
        <v>1763</v>
      </c>
      <c r="AS230" s="99">
        <v>4063</v>
      </c>
      <c r="AT230" s="99">
        <v>1174</v>
      </c>
      <c r="AU230" s="99" t="s">
        <v>1345</v>
      </c>
      <c r="AV230" s="99">
        <v>104.74</v>
      </c>
      <c r="AW230" s="99" t="s">
        <v>527</v>
      </c>
      <c r="AX230" s="99" t="s">
        <v>1866</v>
      </c>
    </row>
    <row r="231" spans="1:50" ht="18" customHeight="1" x14ac:dyDescent="0.25">
      <c r="A231" s="349" t="s">
        <v>446</v>
      </c>
      <c r="B231" s="99" t="s">
        <v>447</v>
      </c>
      <c r="C231" s="99" t="s">
        <v>30</v>
      </c>
      <c r="D231" s="99" t="s">
        <v>30</v>
      </c>
      <c r="E231" s="350">
        <v>41275</v>
      </c>
      <c r="F231" s="99" t="s">
        <v>37</v>
      </c>
      <c r="G231" s="590" t="s">
        <v>272</v>
      </c>
      <c r="H231" s="99">
        <v>240</v>
      </c>
      <c r="I231" s="351">
        <v>0.375</v>
      </c>
      <c r="J231" s="351">
        <v>0.70833333333333337</v>
      </c>
      <c r="K231" s="99" t="s">
        <v>1429</v>
      </c>
      <c r="L231" s="99" t="s">
        <v>1435</v>
      </c>
      <c r="M231" s="99" t="s">
        <v>1695</v>
      </c>
      <c r="N231" s="99" t="s">
        <v>1696</v>
      </c>
      <c r="O231" s="99" t="s">
        <v>1432</v>
      </c>
      <c r="P231" s="99" t="s">
        <v>37</v>
      </c>
      <c r="Q231" s="99" t="s">
        <v>1429</v>
      </c>
      <c r="R231" s="99" t="s">
        <v>1697</v>
      </c>
      <c r="S231" s="99" t="s">
        <v>1444</v>
      </c>
      <c r="T231" s="99"/>
      <c r="U231" s="99"/>
      <c r="V231" s="99" t="s">
        <v>46</v>
      </c>
      <c r="W231" s="99" t="s">
        <v>32</v>
      </c>
      <c r="X231" s="99" t="s">
        <v>37</v>
      </c>
      <c r="Y231" s="99">
        <v>5000</v>
      </c>
      <c r="Z231" s="99">
        <v>1</v>
      </c>
      <c r="AA231" s="99">
        <v>580</v>
      </c>
      <c r="AB231" s="99">
        <v>0</v>
      </c>
      <c r="AC231" s="99">
        <v>1480</v>
      </c>
      <c r="AD231" s="99">
        <v>0</v>
      </c>
      <c r="AE231" s="99">
        <v>0</v>
      </c>
      <c r="AF231" s="99">
        <v>0</v>
      </c>
      <c r="AG231" s="99">
        <v>1883</v>
      </c>
      <c r="AH231" s="99">
        <v>5</v>
      </c>
      <c r="AI231" s="99">
        <v>24</v>
      </c>
      <c r="AJ231" s="99">
        <v>0</v>
      </c>
      <c r="AK231" s="99">
        <v>0</v>
      </c>
      <c r="AL231" s="99">
        <v>0</v>
      </c>
      <c r="AM231" s="99">
        <v>0</v>
      </c>
      <c r="AN231" s="99">
        <v>0</v>
      </c>
      <c r="AO231" s="99">
        <v>0</v>
      </c>
      <c r="AP231" s="99">
        <v>0</v>
      </c>
      <c r="AQ231" s="99" t="s">
        <v>47</v>
      </c>
      <c r="AR231" s="99">
        <v>1763</v>
      </c>
      <c r="AS231" s="99">
        <v>3943</v>
      </c>
      <c r="AT231" s="99">
        <v>1057</v>
      </c>
      <c r="AU231" s="99" t="s">
        <v>1345</v>
      </c>
      <c r="AV231" s="99">
        <v>100</v>
      </c>
      <c r="AW231" s="99" t="s">
        <v>527</v>
      </c>
      <c r="AX231" s="99" t="s">
        <v>1855</v>
      </c>
    </row>
    <row r="232" spans="1:50" ht="18" customHeight="1" x14ac:dyDescent="0.25">
      <c r="A232" s="349" t="s">
        <v>448</v>
      </c>
      <c r="B232" s="99" t="s">
        <v>449</v>
      </c>
      <c r="C232" s="99" t="s">
        <v>35</v>
      </c>
      <c r="D232" s="99" t="s">
        <v>35</v>
      </c>
      <c r="E232" s="350">
        <v>41609</v>
      </c>
      <c r="F232" s="99" t="s">
        <v>1429</v>
      </c>
      <c r="G232" s="590" t="s">
        <v>44</v>
      </c>
      <c r="H232" s="99">
        <v>240</v>
      </c>
      <c r="I232" s="99"/>
      <c r="J232" s="99"/>
      <c r="K232" s="99" t="s">
        <v>1429</v>
      </c>
      <c r="L232" s="99" t="s">
        <v>1435</v>
      </c>
      <c r="M232" s="352">
        <v>43126</v>
      </c>
      <c r="N232" s="99" t="s">
        <v>1698</v>
      </c>
      <c r="O232" s="99" t="s">
        <v>1522</v>
      </c>
      <c r="P232" s="99" t="s">
        <v>37</v>
      </c>
      <c r="Q232" s="99" t="s">
        <v>1429</v>
      </c>
      <c r="R232" s="99" t="s">
        <v>1452</v>
      </c>
      <c r="S232" s="99" t="s">
        <v>1453</v>
      </c>
      <c r="T232" s="99"/>
      <c r="U232" s="99"/>
      <c r="V232" s="99" t="s">
        <v>46</v>
      </c>
      <c r="W232" s="99" t="s">
        <v>32</v>
      </c>
      <c r="X232" s="99" t="s">
        <v>37</v>
      </c>
      <c r="Y232" s="99">
        <v>100</v>
      </c>
      <c r="Z232" s="99"/>
      <c r="AA232" s="99">
        <v>580</v>
      </c>
      <c r="AB232" s="99">
        <v>0</v>
      </c>
      <c r="AC232" s="99">
        <v>800</v>
      </c>
      <c r="AD232" s="99">
        <v>0</v>
      </c>
      <c r="AE232" s="99">
        <v>0</v>
      </c>
      <c r="AF232" s="99">
        <v>0</v>
      </c>
      <c r="AG232" s="99">
        <v>1040</v>
      </c>
      <c r="AH232" s="99">
        <v>10</v>
      </c>
      <c r="AI232" s="99">
        <v>24</v>
      </c>
      <c r="AJ232" s="99">
        <v>0</v>
      </c>
      <c r="AK232" s="99">
        <v>0</v>
      </c>
      <c r="AL232" s="99">
        <v>0</v>
      </c>
      <c r="AM232" s="99">
        <v>0</v>
      </c>
      <c r="AN232" s="99">
        <v>0</v>
      </c>
      <c r="AO232" s="99">
        <v>0</v>
      </c>
      <c r="AP232" s="99">
        <v>0</v>
      </c>
      <c r="AQ232" s="99" t="s">
        <v>47</v>
      </c>
      <c r="AR232" s="99">
        <v>800</v>
      </c>
      <c r="AS232" s="99">
        <v>1840</v>
      </c>
      <c r="AT232" s="99">
        <v>-1740</v>
      </c>
      <c r="AU232" s="99" t="s">
        <v>1345</v>
      </c>
      <c r="AV232" s="99">
        <v>2</v>
      </c>
      <c r="AW232" s="99" t="s">
        <v>673</v>
      </c>
      <c r="AX232" s="99" t="s">
        <v>1057</v>
      </c>
    </row>
    <row r="233" spans="1:50" ht="18" customHeight="1" x14ac:dyDescent="0.25">
      <c r="A233" s="349" t="s">
        <v>450</v>
      </c>
      <c r="B233" s="99" t="s">
        <v>451</v>
      </c>
      <c r="C233" s="99" t="s">
        <v>30</v>
      </c>
      <c r="D233" s="99" t="s">
        <v>30</v>
      </c>
      <c r="E233" s="350">
        <v>40940</v>
      </c>
      <c r="F233" s="99" t="s">
        <v>1429</v>
      </c>
      <c r="G233" s="590" t="s">
        <v>44</v>
      </c>
      <c r="H233" s="99">
        <v>240</v>
      </c>
      <c r="I233" s="351">
        <v>0.375</v>
      </c>
      <c r="J233" s="351">
        <v>0.70833333333333337</v>
      </c>
      <c r="K233" s="99" t="s">
        <v>1429</v>
      </c>
      <c r="L233" s="99" t="s">
        <v>1435</v>
      </c>
      <c r="M233" s="352">
        <v>43321</v>
      </c>
      <c r="N233" s="99" t="s">
        <v>1446</v>
      </c>
      <c r="O233" s="99"/>
      <c r="P233" s="99" t="s">
        <v>37</v>
      </c>
      <c r="Q233" s="99" t="s">
        <v>1429</v>
      </c>
      <c r="R233" s="99" t="s">
        <v>1699</v>
      </c>
      <c r="S233" s="99" t="s">
        <v>1453</v>
      </c>
      <c r="T233" s="350">
        <v>43251</v>
      </c>
      <c r="U233" s="99"/>
      <c r="V233" s="99" t="s">
        <v>46</v>
      </c>
      <c r="W233" s="99" t="s">
        <v>32</v>
      </c>
      <c r="X233" s="99" t="s">
        <v>37</v>
      </c>
      <c r="Y233" s="99">
        <v>2500</v>
      </c>
      <c r="Z233" s="99">
        <v>0</v>
      </c>
      <c r="AA233" s="99">
        <v>580</v>
      </c>
      <c r="AB233" s="99">
        <v>0</v>
      </c>
      <c r="AC233" s="99">
        <v>1480</v>
      </c>
      <c r="AD233" s="99">
        <v>0</v>
      </c>
      <c r="AE233" s="99">
        <v>0</v>
      </c>
      <c r="AF233" s="99">
        <v>0</v>
      </c>
      <c r="AG233" s="99">
        <v>0</v>
      </c>
      <c r="AH233" s="99">
        <v>0</v>
      </c>
      <c r="AI233" s="99">
        <v>24</v>
      </c>
      <c r="AJ233" s="99">
        <v>0</v>
      </c>
      <c r="AK233" s="99">
        <v>0</v>
      </c>
      <c r="AL233" s="99">
        <v>0</v>
      </c>
      <c r="AM233" s="99">
        <v>0</v>
      </c>
      <c r="AN233" s="99">
        <v>0</v>
      </c>
      <c r="AO233" s="99">
        <v>0</v>
      </c>
      <c r="AP233" s="99">
        <v>0</v>
      </c>
      <c r="AQ233" s="99" t="s">
        <v>47</v>
      </c>
      <c r="AR233" s="99">
        <v>0</v>
      </c>
      <c r="AS233" s="99">
        <v>1480</v>
      </c>
      <c r="AT233" s="99">
        <v>1020</v>
      </c>
      <c r="AU233" s="99" t="s">
        <v>1345</v>
      </c>
      <c r="AV233" s="99">
        <v>50</v>
      </c>
      <c r="AW233" s="99" t="s">
        <v>527</v>
      </c>
      <c r="AX233" s="99" t="s">
        <v>1855</v>
      </c>
    </row>
    <row r="234" spans="1:50" ht="18" customHeight="1" x14ac:dyDescent="0.25">
      <c r="A234" s="349" t="s">
        <v>452</v>
      </c>
      <c r="B234" s="99" t="s">
        <v>453</v>
      </c>
      <c r="C234" s="99" t="s">
        <v>29</v>
      </c>
      <c r="D234" s="99" t="s">
        <v>30</v>
      </c>
      <c r="E234" s="350">
        <v>40360</v>
      </c>
      <c r="F234" s="99" t="s">
        <v>37</v>
      </c>
      <c r="G234" s="590" t="s">
        <v>29</v>
      </c>
      <c r="H234" s="99">
        <v>120</v>
      </c>
      <c r="I234" s="351">
        <v>0.375</v>
      </c>
      <c r="J234" s="351">
        <v>0.70833333333333337</v>
      </c>
      <c r="K234" s="99" t="s">
        <v>1429</v>
      </c>
      <c r="L234" s="99" t="s">
        <v>1435</v>
      </c>
      <c r="M234" s="352">
        <v>43321</v>
      </c>
      <c r="N234" s="99" t="s">
        <v>1700</v>
      </c>
      <c r="O234" s="99" t="s">
        <v>1432</v>
      </c>
      <c r="P234" s="99" t="s">
        <v>1429</v>
      </c>
      <c r="Q234" s="99" t="s">
        <v>1429</v>
      </c>
      <c r="R234" s="99" t="s">
        <v>1701</v>
      </c>
      <c r="S234" s="99" t="s">
        <v>1444</v>
      </c>
      <c r="T234" s="99"/>
      <c r="U234" s="99"/>
      <c r="V234" s="99" t="s">
        <v>31</v>
      </c>
      <c r="W234" s="99" t="s">
        <v>32</v>
      </c>
      <c r="X234" s="99" t="s">
        <v>37</v>
      </c>
      <c r="Y234" s="99">
        <v>3500</v>
      </c>
      <c r="Z234" s="99">
        <v>0</v>
      </c>
      <c r="AA234" s="99">
        <v>580</v>
      </c>
      <c r="AB234" s="99">
        <v>0</v>
      </c>
      <c r="AC234" s="99">
        <v>0</v>
      </c>
      <c r="AD234" s="99">
        <v>0</v>
      </c>
      <c r="AE234" s="99">
        <v>0</v>
      </c>
      <c r="AF234" s="99">
        <v>0</v>
      </c>
      <c r="AG234" s="99">
        <v>2963</v>
      </c>
      <c r="AH234" s="99">
        <v>50</v>
      </c>
      <c r="AI234" s="99">
        <v>24</v>
      </c>
      <c r="AJ234" s="99">
        <v>0</v>
      </c>
      <c r="AK234" s="99">
        <v>0</v>
      </c>
      <c r="AL234" s="99">
        <v>0</v>
      </c>
      <c r="AM234" s="99">
        <v>0</v>
      </c>
      <c r="AN234" s="99">
        <v>0</v>
      </c>
      <c r="AO234" s="99">
        <v>0</v>
      </c>
      <c r="AP234" s="99">
        <v>0</v>
      </c>
      <c r="AQ234" s="99"/>
      <c r="AR234" s="99">
        <v>1763</v>
      </c>
      <c r="AS234" s="99">
        <v>2963</v>
      </c>
      <c r="AT234" s="99">
        <v>537</v>
      </c>
      <c r="AU234" s="99" t="s">
        <v>1345</v>
      </c>
      <c r="AV234" s="99">
        <v>70</v>
      </c>
      <c r="AW234" s="99" t="s">
        <v>528</v>
      </c>
      <c r="AX234" s="99" t="s">
        <v>1044</v>
      </c>
    </row>
    <row r="235" spans="1:50" ht="18" customHeight="1" x14ac:dyDescent="0.25">
      <c r="A235" s="349" t="s">
        <v>1210</v>
      </c>
      <c r="B235" s="99" t="s">
        <v>1211</v>
      </c>
      <c r="C235" s="99" t="s">
        <v>35</v>
      </c>
      <c r="D235" s="99" t="s">
        <v>35</v>
      </c>
      <c r="E235" s="350">
        <v>42392</v>
      </c>
      <c r="F235" s="99" t="s">
        <v>1429</v>
      </c>
      <c r="G235" s="590" t="s">
        <v>126</v>
      </c>
      <c r="H235" s="99">
        <v>120</v>
      </c>
      <c r="I235" s="351">
        <v>0.375</v>
      </c>
      <c r="J235" s="351">
        <v>0.70833333333333337</v>
      </c>
      <c r="K235" s="99" t="s">
        <v>1429</v>
      </c>
      <c r="L235" s="99" t="s">
        <v>1435</v>
      </c>
      <c r="M235" s="99" t="s">
        <v>1702</v>
      </c>
      <c r="N235" s="99" t="s">
        <v>1446</v>
      </c>
      <c r="O235" s="99" t="s">
        <v>1432</v>
      </c>
      <c r="P235" s="99" t="s">
        <v>37</v>
      </c>
      <c r="Q235" s="99" t="s">
        <v>1429</v>
      </c>
      <c r="R235" s="99" t="s">
        <v>1703</v>
      </c>
      <c r="S235" s="99" t="s">
        <v>1691</v>
      </c>
      <c r="T235" s="350">
        <v>43123</v>
      </c>
      <c r="U235" s="99"/>
      <c r="V235" s="99" t="s">
        <v>46</v>
      </c>
      <c r="W235" s="99" t="s">
        <v>32</v>
      </c>
      <c r="X235" s="99" t="s">
        <v>37</v>
      </c>
      <c r="Y235" s="99">
        <v>4500</v>
      </c>
      <c r="Z235" s="99"/>
      <c r="AA235" s="99">
        <v>580</v>
      </c>
      <c r="AB235" s="99">
        <v>0</v>
      </c>
      <c r="AC235" s="99">
        <v>1480</v>
      </c>
      <c r="AD235" s="99">
        <v>0</v>
      </c>
      <c r="AE235" s="99">
        <v>0</v>
      </c>
      <c r="AF235" s="99">
        <v>0</v>
      </c>
      <c r="AG235" s="99">
        <v>2123</v>
      </c>
      <c r="AH235" s="99">
        <v>15</v>
      </c>
      <c r="AI235" s="99">
        <v>24</v>
      </c>
      <c r="AJ235" s="99">
        <v>0</v>
      </c>
      <c r="AK235" s="99">
        <v>0</v>
      </c>
      <c r="AL235" s="99">
        <v>0</v>
      </c>
      <c r="AM235" s="99">
        <v>0</v>
      </c>
      <c r="AN235" s="99">
        <v>0</v>
      </c>
      <c r="AO235" s="99">
        <v>0</v>
      </c>
      <c r="AP235" s="99">
        <v>0</v>
      </c>
      <c r="AQ235" s="99" t="s">
        <v>576</v>
      </c>
      <c r="AR235" s="99">
        <v>1763</v>
      </c>
      <c r="AS235" s="99">
        <v>3603</v>
      </c>
      <c r="AT235" s="99">
        <v>897</v>
      </c>
      <c r="AU235" s="99" t="s">
        <v>1345</v>
      </c>
      <c r="AV235" s="99">
        <v>90</v>
      </c>
      <c r="AW235" s="99" t="s">
        <v>528</v>
      </c>
      <c r="AX235" s="99" t="s">
        <v>1795</v>
      </c>
    </row>
    <row r="236" spans="1:50" ht="18" customHeight="1" x14ac:dyDescent="0.25">
      <c r="A236" s="349" t="s">
        <v>455</v>
      </c>
      <c r="B236" s="99" t="s">
        <v>456</v>
      </c>
      <c r="C236" s="99" t="s">
        <v>56</v>
      </c>
      <c r="D236" s="99" t="s">
        <v>56</v>
      </c>
      <c r="E236" s="350">
        <v>41913</v>
      </c>
      <c r="F236" s="99" t="s">
        <v>37</v>
      </c>
      <c r="G236" s="590" t="s">
        <v>66</v>
      </c>
      <c r="H236" s="99">
        <v>240</v>
      </c>
      <c r="I236" s="351">
        <v>0.375</v>
      </c>
      <c r="J236" s="351">
        <v>0.70833333333333337</v>
      </c>
      <c r="K236" s="99" t="s">
        <v>1429</v>
      </c>
      <c r="L236" s="99" t="s">
        <v>1435</v>
      </c>
      <c r="M236" s="352">
        <v>43229</v>
      </c>
      <c r="N236" s="99" t="s">
        <v>1446</v>
      </c>
      <c r="O236" s="99" t="s">
        <v>1432</v>
      </c>
      <c r="P236" s="99" t="s">
        <v>37</v>
      </c>
      <c r="Q236" s="99" t="s">
        <v>1429</v>
      </c>
      <c r="R236" s="99" t="s">
        <v>1704</v>
      </c>
      <c r="S236" s="99" t="s">
        <v>1444</v>
      </c>
      <c r="T236" s="99"/>
      <c r="U236" s="99"/>
      <c r="V236" s="99" t="s">
        <v>46</v>
      </c>
      <c r="W236" s="99" t="s">
        <v>32</v>
      </c>
      <c r="X236" s="99" t="s">
        <v>37</v>
      </c>
      <c r="Y236" s="99">
        <v>5000</v>
      </c>
      <c r="Z236" s="99">
        <v>1</v>
      </c>
      <c r="AA236" s="99">
        <v>580</v>
      </c>
      <c r="AB236" s="99">
        <v>0</v>
      </c>
      <c r="AC236" s="99">
        <v>1480</v>
      </c>
      <c r="AD236" s="99">
        <v>0</v>
      </c>
      <c r="AE236" s="99">
        <v>0</v>
      </c>
      <c r="AF236" s="99">
        <v>0</v>
      </c>
      <c r="AG236" s="99">
        <v>2003</v>
      </c>
      <c r="AH236" s="99">
        <v>10</v>
      </c>
      <c r="AI236" s="99">
        <v>24</v>
      </c>
      <c r="AJ236" s="99">
        <v>0</v>
      </c>
      <c r="AK236" s="99">
        <v>0</v>
      </c>
      <c r="AL236" s="99">
        <v>0</v>
      </c>
      <c r="AM236" s="99">
        <v>0</v>
      </c>
      <c r="AN236" s="99">
        <v>0</v>
      </c>
      <c r="AO236" s="99">
        <v>0</v>
      </c>
      <c r="AP236" s="99">
        <v>0</v>
      </c>
      <c r="AQ236" s="99" t="s">
        <v>47</v>
      </c>
      <c r="AR236" s="99">
        <v>1763</v>
      </c>
      <c r="AS236" s="99">
        <v>4063</v>
      </c>
      <c r="AT236" s="99">
        <v>937</v>
      </c>
      <c r="AU236" s="99" t="s">
        <v>1345</v>
      </c>
      <c r="AV236" s="99">
        <v>100</v>
      </c>
      <c r="AW236" s="99" t="s">
        <v>528</v>
      </c>
      <c r="AX236" s="99" t="s">
        <v>1838</v>
      </c>
    </row>
    <row r="237" spans="1:50" ht="18" customHeight="1" x14ac:dyDescent="0.25">
      <c r="A237" s="349" t="s">
        <v>457</v>
      </c>
      <c r="B237" s="99" t="s">
        <v>458</v>
      </c>
      <c r="C237" s="99" t="s">
        <v>30</v>
      </c>
      <c r="D237" s="99" t="s">
        <v>30</v>
      </c>
      <c r="E237" s="350">
        <v>41591</v>
      </c>
      <c r="F237" s="99" t="s">
        <v>1429</v>
      </c>
      <c r="G237" s="590" t="s">
        <v>126</v>
      </c>
      <c r="H237" s="99">
        <v>240</v>
      </c>
      <c r="I237" s="351">
        <v>0.375</v>
      </c>
      <c r="J237" s="351">
        <v>0.70833333333333337</v>
      </c>
      <c r="K237" s="99" t="s">
        <v>1429</v>
      </c>
      <c r="L237" s="99" t="s">
        <v>1435</v>
      </c>
      <c r="M237" s="352">
        <v>43282</v>
      </c>
      <c r="N237" s="99" t="s">
        <v>1705</v>
      </c>
      <c r="O237" s="99" t="s">
        <v>1432</v>
      </c>
      <c r="P237" s="99" t="s">
        <v>37</v>
      </c>
      <c r="Q237" s="99" t="s">
        <v>1429</v>
      </c>
      <c r="R237" s="99" t="s">
        <v>1706</v>
      </c>
      <c r="S237" s="99" t="s">
        <v>1691</v>
      </c>
      <c r="T237" s="99"/>
      <c r="U237" s="99"/>
      <c r="V237" s="99" t="s">
        <v>46</v>
      </c>
      <c r="W237" s="99" t="s">
        <v>32</v>
      </c>
      <c r="X237" s="99" t="s">
        <v>37</v>
      </c>
      <c r="Y237" s="99">
        <v>5000</v>
      </c>
      <c r="Z237" s="99"/>
      <c r="AA237" s="99">
        <v>580</v>
      </c>
      <c r="AB237" s="99">
        <v>0</v>
      </c>
      <c r="AC237" s="99">
        <v>1480</v>
      </c>
      <c r="AD237" s="99">
        <v>0</v>
      </c>
      <c r="AE237" s="99">
        <v>0</v>
      </c>
      <c r="AF237" s="99">
        <v>0</v>
      </c>
      <c r="AG237" s="99">
        <v>1883</v>
      </c>
      <c r="AH237" s="99">
        <v>5</v>
      </c>
      <c r="AI237" s="99">
        <v>24</v>
      </c>
      <c r="AJ237" s="99">
        <v>0</v>
      </c>
      <c r="AK237" s="99">
        <v>0</v>
      </c>
      <c r="AL237" s="99">
        <v>0</v>
      </c>
      <c r="AM237" s="99">
        <v>0</v>
      </c>
      <c r="AN237" s="99">
        <v>0</v>
      </c>
      <c r="AO237" s="99">
        <v>0</v>
      </c>
      <c r="AP237" s="99">
        <v>0</v>
      </c>
      <c r="AQ237" s="99" t="s">
        <v>47</v>
      </c>
      <c r="AR237" s="99">
        <v>1763</v>
      </c>
      <c r="AS237" s="99">
        <v>3363</v>
      </c>
      <c r="AT237" s="99">
        <v>1637</v>
      </c>
      <c r="AU237" s="99" t="s">
        <v>1345</v>
      </c>
      <c r="AV237" s="99">
        <v>100</v>
      </c>
      <c r="AW237" s="99" t="s">
        <v>527</v>
      </c>
      <c r="AX237" s="99" t="s">
        <v>1853</v>
      </c>
    </row>
    <row r="238" spans="1:50" ht="18" customHeight="1" x14ac:dyDescent="0.25">
      <c r="A238" s="349" t="s">
        <v>459</v>
      </c>
      <c r="B238" s="99" t="s">
        <v>460</v>
      </c>
      <c r="C238" s="99" t="s">
        <v>40</v>
      </c>
      <c r="D238" s="99" t="s">
        <v>30</v>
      </c>
      <c r="E238" s="350">
        <v>40695</v>
      </c>
      <c r="F238" s="99" t="s">
        <v>1429</v>
      </c>
      <c r="G238" s="590" t="s">
        <v>40</v>
      </c>
      <c r="H238" s="99">
        <v>120</v>
      </c>
      <c r="I238" s="351">
        <v>0.375</v>
      </c>
      <c r="J238" s="351">
        <v>0.70833333333333337</v>
      </c>
      <c r="K238" s="99" t="s">
        <v>1429</v>
      </c>
      <c r="L238" s="99">
        <v>0</v>
      </c>
      <c r="M238" s="99">
        <v>0</v>
      </c>
      <c r="N238" s="99" t="s">
        <v>1707</v>
      </c>
      <c r="O238" s="99" t="s">
        <v>1432</v>
      </c>
      <c r="P238" s="99" t="s">
        <v>37</v>
      </c>
      <c r="Q238" s="99" t="s">
        <v>37</v>
      </c>
      <c r="R238" s="99" t="s">
        <v>1708</v>
      </c>
      <c r="S238" s="99" t="s">
        <v>1444</v>
      </c>
      <c r="T238" s="99"/>
      <c r="U238" s="99"/>
      <c r="V238" s="99" t="s">
        <v>31</v>
      </c>
      <c r="W238" s="99" t="s">
        <v>32</v>
      </c>
      <c r="X238" s="99" t="s">
        <v>37</v>
      </c>
      <c r="Y238" s="99">
        <v>3500</v>
      </c>
      <c r="Z238" s="99">
        <v>2</v>
      </c>
      <c r="AA238" s="99">
        <v>580</v>
      </c>
      <c r="AB238" s="99">
        <v>0</v>
      </c>
      <c r="AC238" s="99">
        <v>0</v>
      </c>
      <c r="AD238" s="99">
        <v>0</v>
      </c>
      <c r="AE238" s="99">
        <v>0</v>
      </c>
      <c r="AF238" s="99">
        <v>0</v>
      </c>
      <c r="AG238" s="99">
        <v>120</v>
      </c>
      <c r="AH238" s="99">
        <v>5</v>
      </c>
      <c r="AI238" s="99">
        <v>24</v>
      </c>
      <c r="AJ238" s="99">
        <v>0</v>
      </c>
      <c r="AK238" s="99">
        <v>0</v>
      </c>
      <c r="AL238" s="99">
        <v>0</v>
      </c>
      <c r="AM238" s="99">
        <v>0</v>
      </c>
      <c r="AN238" s="99">
        <v>0</v>
      </c>
      <c r="AO238" s="99">
        <v>0</v>
      </c>
      <c r="AP238" s="99">
        <v>0</v>
      </c>
      <c r="AQ238" s="99"/>
      <c r="AR238" s="99">
        <v>0</v>
      </c>
      <c r="AS238" s="99">
        <v>1280</v>
      </c>
      <c r="AT238" s="99">
        <v>2220</v>
      </c>
      <c r="AU238" s="99" t="s">
        <v>1345</v>
      </c>
      <c r="AV238" s="99">
        <v>70</v>
      </c>
      <c r="AW238" s="99" t="s">
        <v>527</v>
      </c>
      <c r="AX238" s="99" t="s">
        <v>1786</v>
      </c>
    </row>
    <row r="239" spans="1:50" ht="18" customHeight="1" x14ac:dyDescent="0.25">
      <c r="A239" s="349" t="s">
        <v>1380</v>
      </c>
      <c r="B239" s="99" t="s">
        <v>1381</v>
      </c>
      <c r="C239" s="99" t="s">
        <v>30</v>
      </c>
      <c r="D239" s="99" t="s">
        <v>30</v>
      </c>
      <c r="E239" s="350">
        <v>42773</v>
      </c>
      <c r="F239" s="99" t="s">
        <v>37</v>
      </c>
      <c r="G239" s="590" t="s">
        <v>52</v>
      </c>
      <c r="H239" s="99">
        <v>120</v>
      </c>
      <c r="I239" s="351">
        <v>0.375</v>
      </c>
      <c r="J239" s="351">
        <v>0.70833333333333337</v>
      </c>
      <c r="K239" s="99" t="s">
        <v>1429</v>
      </c>
      <c r="L239" s="99">
        <v>0</v>
      </c>
      <c r="M239" s="99">
        <v>0</v>
      </c>
      <c r="N239" s="99" t="s">
        <v>1898</v>
      </c>
      <c r="O239" s="99" t="s">
        <v>1511</v>
      </c>
      <c r="P239" s="99" t="s">
        <v>37</v>
      </c>
      <c r="Q239" s="99" t="s">
        <v>37</v>
      </c>
      <c r="R239" s="99"/>
      <c r="S239" s="99" t="s">
        <v>1444</v>
      </c>
      <c r="T239" s="350">
        <v>44599</v>
      </c>
      <c r="U239" s="99"/>
      <c r="V239" s="99" t="s">
        <v>31</v>
      </c>
      <c r="W239" s="99" t="s">
        <v>32</v>
      </c>
      <c r="X239" s="99" t="s">
        <v>37</v>
      </c>
      <c r="Y239" s="99">
        <v>15000</v>
      </c>
      <c r="Z239" s="99">
        <v>1</v>
      </c>
      <c r="AA239" s="99">
        <v>580</v>
      </c>
      <c r="AB239" s="99">
        <v>0</v>
      </c>
      <c r="AC239" s="99">
        <v>0</v>
      </c>
      <c r="AD239" s="99">
        <v>0</v>
      </c>
      <c r="AE239" s="99">
        <v>0</v>
      </c>
      <c r="AF239" s="99">
        <v>0</v>
      </c>
      <c r="AG239" s="99">
        <v>1763</v>
      </c>
      <c r="AH239" s="99">
        <v>0</v>
      </c>
      <c r="AI239" s="99">
        <v>24</v>
      </c>
      <c r="AJ239" s="99">
        <v>0</v>
      </c>
      <c r="AK239" s="99">
        <v>0</v>
      </c>
      <c r="AL239" s="99">
        <v>0</v>
      </c>
      <c r="AM239" s="99">
        <v>0</v>
      </c>
      <c r="AN239" s="99">
        <v>0</v>
      </c>
      <c r="AO239" s="99">
        <v>0</v>
      </c>
      <c r="AP239" s="99">
        <v>0</v>
      </c>
      <c r="AQ239" s="99"/>
      <c r="AR239" s="99">
        <v>1763</v>
      </c>
      <c r="AS239" s="99">
        <v>2343</v>
      </c>
      <c r="AT239" s="99">
        <v>12657</v>
      </c>
      <c r="AU239" s="99" t="s">
        <v>1345</v>
      </c>
      <c r="AV239" s="99">
        <v>300</v>
      </c>
      <c r="AW239" s="99" t="s">
        <v>527</v>
      </c>
      <c r="AX239" s="99" t="s">
        <v>1786</v>
      </c>
    </row>
    <row r="240" spans="1:50" ht="18" customHeight="1" x14ac:dyDescent="0.25">
      <c r="A240" s="349" t="s">
        <v>461</v>
      </c>
      <c r="B240" s="99" t="s">
        <v>462</v>
      </c>
      <c r="C240" s="99" t="s">
        <v>30</v>
      </c>
      <c r="D240" s="99" t="s">
        <v>30</v>
      </c>
      <c r="E240" s="350">
        <v>40497</v>
      </c>
      <c r="F240" s="99" t="s">
        <v>37</v>
      </c>
      <c r="G240" s="590" t="s">
        <v>272</v>
      </c>
      <c r="H240" s="99">
        <v>240</v>
      </c>
      <c r="I240" s="351">
        <v>0.375</v>
      </c>
      <c r="J240" s="351">
        <v>0.70833333333333337</v>
      </c>
      <c r="K240" s="99" t="s">
        <v>1429</v>
      </c>
      <c r="L240" s="99" t="s">
        <v>1435</v>
      </c>
      <c r="M240" s="99">
        <v>59</v>
      </c>
      <c r="N240" s="99" t="s">
        <v>1705</v>
      </c>
      <c r="O240" s="99" t="s">
        <v>1432</v>
      </c>
      <c r="P240" s="99" t="s">
        <v>37</v>
      </c>
      <c r="Q240" s="99" t="s">
        <v>1429</v>
      </c>
      <c r="R240" s="99" t="s">
        <v>1709</v>
      </c>
      <c r="S240" s="99" t="s">
        <v>1444</v>
      </c>
      <c r="T240" s="99"/>
      <c r="U240" s="99" t="s">
        <v>36</v>
      </c>
      <c r="V240" s="99" t="s">
        <v>46</v>
      </c>
      <c r="W240" s="99" t="s">
        <v>32</v>
      </c>
      <c r="X240" s="99" t="s">
        <v>37</v>
      </c>
      <c r="Y240" s="99">
        <v>8590</v>
      </c>
      <c r="Z240" s="99">
        <v>0</v>
      </c>
      <c r="AA240" s="99">
        <v>580</v>
      </c>
      <c r="AB240" s="99">
        <v>0</v>
      </c>
      <c r="AC240" s="99">
        <v>1480</v>
      </c>
      <c r="AD240" s="99">
        <v>0</v>
      </c>
      <c r="AE240" s="99">
        <v>0</v>
      </c>
      <c r="AF240" s="99">
        <v>0</v>
      </c>
      <c r="AG240" s="99">
        <v>2003</v>
      </c>
      <c r="AH240" s="99">
        <v>10</v>
      </c>
      <c r="AI240" s="99">
        <v>24</v>
      </c>
      <c r="AJ240" s="99">
        <v>0</v>
      </c>
      <c r="AK240" s="99">
        <v>0</v>
      </c>
      <c r="AL240" s="99">
        <v>0</v>
      </c>
      <c r="AM240" s="99">
        <v>0</v>
      </c>
      <c r="AN240" s="99">
        <v>0</v>
      </c>
      <c r="AO240" s="99">
        <v>0</v>
      </c>
      <c r="AP240" s="99">
        <v>0</v>
      </c>
      <c r="AQ240" s="99" t="s">
        <v>47</v>
      </c>
      <c r="AR240" s="99">
        <v>1763</v>
      </c>
      <c r="AS240" s="99">
        <v>3483</v>
      </c>
      <c r="AT240" s="99">
        <v>5107</v>
      </c>
      <c r="AU240" s="99" t="s">
        <v>1345</v>
      </c>
      <c r="AV240" s="99">
        <v>171.8</v>
      </c>
      <c r="AW240" s="99" t="s">
        <v>526</v>
      </c>
      <c r="AX240" s="99" t="s">
        <v>1795</v>
      </c>
    </row>
    <row r="241" spans="1:50" ht="18" customHeight="1" x14ac:dyDescent="0.25">
      <c r="A241" s="349" t="s">
        <v>1906</v>
      </c>
      <c r="B241" s="99" t="s">
        <v>1907</v>
      </c>
      <c r="C241" s="99" t="s">
        <v>30</v>
      </c>
      <c r="D241" s="99" t="s">
        <v>30</v>
      </c>
      <c r="E241" s="350">
        <v>43070</v>
      </c>
      <c r="F241" s="99" t="s">
        <v>1429</v>
      </c>
      <c r="G241" s="590" t="s">
        <v>545</v>
      </c>
      <c r="H241" s="99">
        <v>240</v>
      </c>
      <c r="I241" s="351">
        <v>0.375</v>
      </c>
      <c r="J241" s="351">
        <v>0.70833333333333337</v>
      </c>
      <c r="K241" s="99" t="s">
        <v>1429</v>
      </c>
      <c r="L241" s="99" t="s">
        <v>1435</v>
      </c>
      <c r="M241" s="99">
        <v>0</v>
      </c>
      <c r="N241" s="99" t="s">
        <v>1908</v>
      </c>
      <c r="O241" s="99" t="s">
        <v>1603</v>
      </c>
      <c r="P241" s="99" t="s">
        <v>37</v>
      </c>
      <c r="Q241" s="99" t="s">
        <v>1429</v>
      </c>
      <c r="R241" s="99" t="s">
        <v>1909</v>
      </c>
      <c r="S241" s="99" t="s">
        <v>1496</v>
      </c>
      <c r="T241" s="99"/>
      <c r="U241" s="99"/>
      <c r="V241" s="99" t="s">
        <v>46</v>
      </c>
      <c r="W241" s="99" t="s">
        <v>32</v>
      </c>
      <c r="X241" s="99" t="s">
        <v>37</v>
      </c>
      <c r="Y241" s="99">
        <v>4200</v>
      </c>
      <c r="Z241" s="99">
        <v>0</v>
      </c>
      <c r="AA241" s="99">
        <v>580</v>
      </c>
      <c r="AB241" s="99">
        <v>0</v>
      </c>
      <c r="AC241" s="99">
        <v>1480</v>
      </c>
      <c r="AD241" s="99">
        <v>0</v>
      </c>
      <c r="AE241" s="99">
        <v>0</v>
      </c>
      <c r="AF241" s="99">
        <v>0</v>
      </c>
      <c r="AG241" s="99">
        <v>2003</v>
      </c>
      <c r="AH241" s="99">
        <v>10</v>
      </c>
      <c r="AI241" s="99">
        <v>24</v>
      </c>
      <c r="AJ241" s="99">
        <v>0</v>
      </c>
      <c r="AK241" s="99">
        <v>0</v>
      </c>
      <c r="AL241" s="99">
        <v>0</v>
      </c>
      <c r="AM241" s="99">
        <v>0</v>
      </c>
      <c r="AN241" s="99">
        <v>0</v>
      </c>
      <c r="AO241" s="99">
        <v>0</v>
      </c>
      <c r="AP241" s="99">
        <v>0</v>
      </c>
      <c r="AQ241" s="99" t="s">
        <v>47</v>
      </c>
      <c r="AR241" s="99">
        <v>1763</v>
      </c>
      <c r="AS241" s="99">
        <v>3483</v>
      </c>
      <c r="AT241" s="99">
        <v>717</v>
      </c>
      <c r="AU241" s="99" t="s">
        <v>1345</v>
      </c>
      <c r="AV241" s="99">
        <v>84</v>
      </c>
      <c r="AW241" s="99" t="s">
        <v>528</v>
      </c>
      <c r="AX241" s="99" t="s">
        <v>1866</v>
      </c>
    </row>
    <row r="242" spans="1:50" ht="18" customHeight="1" x14ac:dyDescent="0.25">
      <c r="A242" s="349" t="s">
        <v>652</v>
      </c>
      <c r="B242" s="99" t="s">
        <v>653</v>
      </c>
      <c r="C242" s="99" t="s">
        <v>30</v>
      </c>
      <c r="D242" s="99" t="s">
        <v>30</v>
      </c>
      <c r="E242" s="350">
        <v>42461</v>
      </c>
      <c r="F242" s="99" t="s">
        <v>37</v>
      </c>
      <c r="G242" s="590" t="s">
        <v>545</v>
      </c>
      <c r="H242" s="99">
        <v>240</v>
      </c>
      <c r="I242" s="351">
        <v>0.375</v>
      </c>
      <c r="J242" s="351">
        <v>0.70833333333333337</v>
      </c>
      <c r="K242" s="99" t="s">
        <v>1429</v>
      </c>
      <c r="L242" s="99" t="s">
        <v>1435</v>
      </c>
      <c r="M242" s="352">
        <v>43174</v>
      </c>
      <c r="N242" s="99" t="s">
        <v>1446</v>
      </c>
      <c r="O242" s="99" t="s">
        <v>1432</v>
      </c>
      <c r="P242" s="99" t="s">
        <v>37</v>
      </c>
      <c r="Q242" s="99" t="s">
        <v>1429</v>
      </c>
      <c r="R242" s="99" t="s">
        <v>1710</v>
      </c>
      <c r="S242" s="99" t="s">
        <v>1444</v>
      </c>
      <c r="T242" s="99"/>
      <c r="U242" s="99"/>
      <c r="V242" s="99" t="s">
        <v>46</v>
      </c>
      <c r="W242" s="99" t="s">
        <v>32</v>
      </c>
      <c r="X242" s="99" t="s">
        <v>37</v>
      </c>
      <c r="Y242" s="99">
        <v>4500</v>
      </c>
      <c r="Z242" s="99">
        <v>0</v>
      </c>
      <c r="AA242" s="99">
        <v>580</v>
      </c>
      <c r="AB242" s="99">
        <v>0</v>
      </c>
      <c r="AC242" s="99">
        <v>1480</v>
      </c>
      <c r="AD242" s="99">
        <v>0</v>
      </c>
      <c r="AE242" s="99">
        <v>0</v>
      </c>
      <c r="AF242" s="99">
        <v>0</v>
      </c>
      <c r="AG242" s="99">
        <v>2483</v>
      </c>
      <c r="AH242" s="99">
        <v>30</v>
      </c>
      <c r="AI242" s="99">
        <v>24</v>
      </c>
      <c r="AJ242" s="99">
        <v>0</v>
      </c>
      <c r="AK242" s="99">
        <v>0</v>
      </c>
      <c r="AL242" s="99">
        <v>0</v>
      </c>
      <c r="AM242" s="99">
        <v>0</v>
      </c>
      <c r="AN242" s="99">
        <v>0</v>
      </c>
      <c r="AO242" s="99">
        <v>0</v>
      </c>
      <c r="AP242" s="99">
        <v>0</v>
      </c>
      <c r="AQ242" s="99" t="s">
        <v>576</v>
      </c>
      <c r="AR242" s="99">
        <v>1763</v>
      </c>
      <c r="AS242" s="99">
        <v>3963</v>
      </c>
      <c r="AT242" s="99">
        <v>537</v>
      </c>
      <c r="AU242" s="99" t="s">
        <v>1345</v>
      </c>
      <c r="AV242" s="99">
        <v>90</v>
      </c>
      <c r="AW242" s="99" t="s">
        <v>528</v>
      </c>
      <c r="AX242" s="99" t="s">
        <v>1857</v>
      </c>
    </row>
    <row r="243" spans="1:50" ht="18" customHeight="1" x14ac:dyDescent="0.25">
      <c r="A243" s="349" t="s">
        <v>463</v>
      </c>
      <c r="B243" s="99" t="s">
        <v>464</v>
      </c>
      <c r="C243" s="99" t="s">
        <v>30</v>
      </c>
      <c r="D243" s="99" t="s">
        <v>30</v>
      </c>
      <c r="E243" s="350">
        <v>40352</v>
      </c>
      <c r="F243" s="99" t="s">
        <v>1429</v>
      </c>
      <c r="G243" s="590" t="s">
        <v>44</v>
      </c>
      <c r="H243" s="99">
        <v>240</v>
      </c>
      <c r="I243" s="351">
        <v>0.375</v>
      </c>
      <c r="J243" s="351">
        <v>0.70833333333333337</v>
      </c>
      <c r="K243" s="99" t="s">
        <v>1429</v>
      </c>
      <c r="L243" s="99" t="s">
        <v>1435</v>
      </c>
      <c r="M243" s="99" t="s">
        <v>1711</v>
      </c>
      <c r="N243" s="99" t="s">
        <v>1712</v>
      </c>
      <c r="O243" s="99" t="s">
        <v>1432</v>
      </c>
      <c r="P243" s="99" t="s">
        <v>37</v>
      </c>
      <c r="Q243" s="99" t="s">
        <v>1429</v>
      </c>
      <c r="R243" s="99" t="s">
        <v>1846</v>
      </c>
      <c r="S243" s="99" t="s">
        <v>1453</v>
      </c>
      <c r="T243" s="99"/>
      <c r="U243" s="99" t="s">
        <v>36</v>
      </c>
      <c r="V243" s="99" t="s">
        <v>46</v>
      </c>
      <c r="W243" s="99" t="s">
        <v>32</v>
      </c>
      <c r="X243" s="99" t="s">
        <v>37</v>
      </c>
      <c r="Y243" s="99">
        <v>11000</v>
      </c>
      <c r="Z243" s="99">
        <v>2</v>
      </c>
      <c r="AA243" s="99">
        <v>580</v>
      </c>
      <c r="AB243" s="99">
        <v>0</v>
      </c>
      <c r="AC243" s="99">
        <v>1480</v>
      </c>
      <c r="AD243" s="99">
        <v>0</v>
      </c>
      <c r="AE243" s="99">
        <v>0</v>
      </c>
      <c r="AF243" s="99">
        <v>0</v>
      </c>
      <c r="AG243" s="99">
        <v>2483</v>
      </c>
      <c r="AH243" s="99">
        <v>30</v>
      </c>
      <c r="AI243" s="99">
        <v>24</v>
      </c>
      <c r="AJ243" s="99">
        <v>0</v>
      </c>
      <c r="AK243" s="99">
        <v>0</v>
      </c>
      <c r="AL243" s="99">
        <v>0</v>
      </c>
      <c r="AM243" s="99">
        <v>0</v>
      </c>
      <c r="AN243" s="99">
        <v>0</v>
      </c>
      <c r="AO243" s="99">
        <v>0</v>
      </c>
      <c r="AP243" s="99">
        <v>0</v>
      </c>
      <c r="AQ243" s="99" t="s">
        <v>47</v>
      </c>
      <c r="AR243" s="99">
        <v>1763</v>
      </c>
      <c r="AS243" s="99">
        <v>5123</v>
      </c>
      <c r="AT243" s="99">
        <v>5877</v>
      </c>
      <c r="AU243" s="99" t="s">
        <v>1345</v>
      </c>
      <c r="AV243" s="99">
        <v>220</v>
      </c>
      <c r="AW243" s="99" t="s">
        <v>526</v>
      </c>
      <c r="AX243" s="99" t="s">
        <v>1866</v>
      </c>
    </row>
    <row r="244" spans="1:50" ht="18" customHeight="1" x14ac:dyDescent="0.25">
      <c r="A244" s="349" t="s">
        <v>465</v>
      </c>
      <c r="B244" s="99" t="s">
        <v>466</v>
      </c>
      <c r="C244" s="99" t="s">
        <v>30</v>
      </c>
      <c r="D244" s="99" t="s">
        <v>30</v>
      </c>
      <c r="E244" s="350">
        <v>41043</v>
      </c>
      <c r="F244" s="99" t="s">
        <v>1429</v>
      </c>
      <c r="G244" s="590" t="s">
        <v>190</v>
      </c>
      <c r="H244" s="99">
        <v>120</v>
      </c>
      <c r="I244" s="351">
        <v>0.375</v>
      </c>
      <c r="J244" s="351">
        <v>0.70833333333333337</v>
      </c>
      <c r="K244" s="99" t="s">
        <v>1429</v>
      </c>
      <c r="L244" s="99">
        <v>98</v>
      </c>
      <c r="M244" s="99">
        <v>0</v>
      </c>
      <c r="N244" s="99" t="s">
        <v>1713</v>
      </c>
      <c r="O244" s="99" t="s">
        <v>1432</v>
      </c>
      <c r="P244" s="99" t="s">
        <v>1429</v>
      </c>
      <c r="Q244" s="99" t="s">
        <v>1429</v>
      </c>
      <c r="R244" s="99" t="s">
        <v>1714</v>
      </c>
      <c r="S244" s="99" t="s">
        <v>1444</v>
      </c>
      <c r="T244" s="99"/>
      <c r="U244" s="99"/>
      <c r="V244" s="99" t="s">
        <v>39</v>
      </c>
      <c r="W244" s="99" t="s">
        <v>32</v>
      </c>
      <c r="X244" s="99" t="s">
        <v>37</v>
      </c>
      <c r="Y244" s="99">
        <v>1800</v>
      </c>
      <c r="Z244" s="99">
        <v>0</v>
      </c>
      <c r="AA244" s="99">
        <v>580</v>
      </c>
      <c r="AB244" s="99">
        <v>0</v>
      </c>
      <c r="AC244" s="99">
        <v>0</v>
      </c>
      <c r="AD244" s="99">
        <v>0</v>
      </c>
      <c r="AE244" s="99">
        <v>0</v>
      </c>
      <c r="AF244" s="99">
        <v>0</v>
      </c>
      <c r="AG244" s="99">
        <v>480</v>
      </c>
      <c r="AH244" s="99">
        <v>20</v>
      </c>
      <c r="AI244" s="99">
        <v>24</v>
      </c>
      <c r="AJ244" s="99">
        <v>0</v>
      </c>
      <c r="AK244" s="99">
        <v>0</v>
      </c>
      <c r="AL244" s="99">
        <v>0</v>
      </c>
      <c r="AM244" s="99">
        <v>0</v>
      </c>
      <c r="AN244" s="99">
        <v>0</v>
      </c>
      <c r="AO244" s="99">
        <v>0</v>
      </c>
      <c r="AP244" s="99">
        <v>0</v>
      </c>
      <c r="AQ244" s="99"/>
      <c r="AR244" s="99">
        <v>0</v>
      </c>
      <c r="AS244" s="99">
        <v>480</v>
      </c>
      <c r="AT244" s="99">
        <v>1320</v>
      </c>
      <c r="AU244" s="99" t="s">
        <v>1345</v>
      </c>
      <c r="AV244" s="99">
        <v>36</v>
      </c>
      <c r="AW244" s="99" t="s">
        <v>527</v>
      </c>
      <c r="AX244" s="99" t="s">
        <v>1048</v>
      </c>
    </row>
    <row r="245" spans="1:50" ht="18" customHeight="1" x14ac:dyDescent="0.25">
      <c r="A245" s="349" t="s">
        <v>467</v>
      </c>
      <c r="B245" s="99" t="s">
        <v>468</v>
      </c>
      <c r="C245" s="99" t="s">
        <v>30</v>
      </c>
      <c r="D245" s="99" t="s">
        <v>30</v>
      </c>
      <c r="E245" s="350">
        <v>42110</v>
      </c>
      <c r="F245" s="99" t="s">
        <v>37</v>
      </c>
      <c r="G245" s="590" t="s">
        <v>66</v>
      </c>
      <c r="H245" s="99">
        <v>240</v>
      </c>
      <c r="I245" s="351">
        <v>0.375</v>
      </c>
      <c r="J245" s="351">
        <v>0.70833333333333337</v>
      </c>
      <c r="K245" s="99" t="s">
        <v>1429</v>
      </c>
      <c r="L245" s="99">
        <v>0</v>
      </c>
      <c r="M245" s="99">
        <v>12</v>
      </c>
      <c r="N245" s="99" t="s">
        <v>1446</v>
      </c>
      <c r="O245" s="99" t="s">
        <v>1432</v>
      </c>
      <c r="P245" s="99" t="s">
        <v>37</v>
      </c>
      <c r="Q245" s="99" t="s">
        <v>1429</v>
      </c>
      <c r="R245" s="99" t="s">
        <v>1715</v>
      </c>
      <c r="S245" s="99" t="s">
        <v>1444</v>
      </c>
      <c r="T245" s="99"/>
      <c r="U245" s="99"/>
      <c r="V245" s="99" t="s">
        <v>46</v>
      </c>
      <c r="W245" s="99" t="s">
        <v>32</v>
      </c>
      <c r="X245" s="99" t="s">
        <v>37</v>
      </c>
      <c r="Y245" s="99">
        <v>4000</v>
      </c>
      <c r="Z245" s="99">
        <v>0</v>
      </c>
      <c r="AA245" s="99">
        <v>580</v>
      </c>
      <c r="AB245" s="99">
        <v>0</v>
      </c>
      <c r="AC245" s="99">
        <v>1480</v>
      </c>
      <c r="AD245" s="99">
        <v>0</v>
      </c>
      <c r="AE245" s="99">
        <v>0</v>
      </c>
      <c r="AF245" s="99">
        <v>0</v>
      </c>
      <c r="AG245" s="99">
        <v>600</v>
      </c>
      <c r="AH245" s="99">
        <v>25</v>
      </c>
      <c r="AI245" s="99">
        <v>24</v>
      </c>
      <c r="AJ245" s="99">
        <v>0</v>
      </c>
      <c r="AK245" s="99">
        <v>0</v>
      </c>
      <c r="AL245" s="99">
        <v>0</v>
      </c>
      <c r="AM245" s="99">
        <v>0</v>
      </c>
      <c r="AN245" s="99">
        <v>0</v>
      </c>
      <c r="AO245" s="99">
        <v>0</v>
      </c>
      <c r="AP245" s="99">
        <v>0</v>
      </c>
      <c r="AQ245" s="99" t="s">
        <v>47</v>
      </c>
      <c r="AR245" s="99">
        <v>0</v>
      </c>
      <c r="AS245" s="99">
        <v>2080</v>
      </c>
      <c r="AT245" s="99">
        <v>1920</v>
      </c>
      <c r="AU245" s="99" t="s">
        <v>1345</v>
      </c>
      <c r="AV245" s="99">
        <v>80</v>
      </c>
      <c r="AW245" s="99" t="s">
        <v>528</v>
      </c>
      <c r="AX245" s="99" t="s">
        <v>1424</v>
      </c>
    </row>
    <row r="246" spans="1:50" ht="18" customHeight="1" x14ac:dyDescent="0.25">
      <c r="A246" s="349" t="s">
        <v>654</v>
      </c>
      <c r="B246" s="99" t="s">
        <v>655</v>
      </c>
      <c r="C246" s="99" t="s">
        <v>35</v>
      </c>
      <c r="D246" s="99" t="s">
        <v>35</v>
      </c>
      <c r="E246" s="350">
        <v>42473</v>
      </c>
      <c r="F246" s="99" t="s">
        <v>37</v>
      </c>
      <c r="G246" s="590" t="s">
        <v>545</v>
      </c>
      <c r="H246" s="99">
        <v>240</v>
      </c>
      <c r="I246" s="351">
        <v>0.375</v>
      </c>
      <c r="J246" s="351">
        <v>0.70833333333333337</v>
      </c>
      <c r="K246" s="99" t="s">
        <v>1429</v>
      </c>
      <c r="L246" s="99" t="s">
        <v>1435</v>
      </c>
      <c r="M246" s="352">
        <v>43139</v>
      </c>
      <c r="N246" s="99" t="s">
        <v>1446</v>
      </c>
      <c r="O246" s="99" t="s">
        <v>1432</v>
      </c>
      <c r="P246" s="99" t="s">
        <v>37</v>
      </c>
      <c r="Q246" s="99" t="s">
        <v>1429</v>
      </c>
      <c r="R246" s="99" t="s">
        <v>1716</v>
      </c>
      <c r="S246" s="99" t="s">
        <v>1444</v>
      </c>
      <c r="T246" s="99"/>
      <c r="U246" s="99" t="s">
        <v>47</v>
      </c>
      <c r="V246" s="99" t="s">
        <v>46</v>
      </c>
      <c r="W246" s="99" t="s">
        <v>32</v>
      </c>
      <c r="X246" s="99" t="s">
        <v>37</v>
      </c>
      <c r="Y246" s="99">
        <v>5800</v>
      </c>
      <c r="Z246" s="99">
        <v>1</v>
      </c>
      <c r="AA246" s="99">
        <v>580</v>
      </c>
      <c r="AB246" s="99">
        <v>0</v>
      </c>
      <c r="AC246" s="99">
        <v>1480</v>
      </c>
      <c r="AD246" s="99">
        <v>0</v>
      </c>
      <c r="AE246" s="99">
        <v>0</v>
      </c>
      <c r="AF246" s="99">
        <v>0</v>
      </c>
      <c r="AG246" s="99">
        <v>2123</v>
      </c>
      <c r="AH246" s="99">
        <v>15</v>
      </c>
      <c r="AI246" s="99">
        <v>24</v>
      </c>
      <c r="AJ246" s="99">
        <v>0</v>
      </c>
      <c r="AK246" s="99">
        <v>0</v>
      </c>
      <c r="AL246" s="99">
        <v>0</v>
      </c>
      <c r="AM246" s="99">
        <v>0</v>
      </c>
      <c r="AN246" s="99">
        <v>0</v>
      </c>
      <c r="AO246" s="99">
        <v>0</v>
      </c>
      <c r="AP246" s="99">
        <v>0</v>
      </c>
      <c r="AQ246" s="99" t="s">
        <v>576</v>
      </c>
      <c r="AR246" s="99">
        <v>1763</v>
      </c>
      <c r="AS246" s="99">
        <v>4183</v>
      </c>
      <c r="AT246" s="99">
        <v>1617</v>
      </c>
      <c r="AU246" s="99" t="s">
        <v>1345</v>
      </c>
      <c r="AV246" s="99">
        <v>116</v>
      </c>
      <c r="AW246" s="99" t="s">
        <v>527</v>
      </c>
      <c r="AX246" s="99" t="s">
        <v>1857</v>
      </c>
    </row>
    <row r="247" spans="1:50" ht="18" customHeight="1" x14ac:dyDescent="0.25">
      <c r="A247" s="349" t="s">
        <v>1847</v>
      </c>
      <c r="B247" s="99" t="s">
        <v>469</v>
      </c>
      <c r="C247" s="99" t="s">
        <v>40</v>
      </c>
      <c r="D247" s="99" t="s">
        <v>45</v>
      </c>
      <c r="E247" s="350">
        <v>41275</v>
      </c>
      <c r="F247" s="99" t="s">
        <v>1429</v>
      </c>
      <c r="G247" s="590" t="s">
        <v>40</v>
      </c>
      <c r="H247" s="99">
        <v>0</v>
      </c>
      <c r="I247" s="99"/>
      <c r="J247" s="99"/>
      <c r="K247" s="99" t="s">
        <v>1429</v>
      </c>
      <c r="L247" s="99">
        <v>0</v>
      </c>
      <c r="M247" s="99">
        <v>0</v>
      </c>
      <c r="N247" s="99"/>
      <c r="O247" s="99"/>
      <c r="P247" s="99" t="s">
        <v>37</v>
      </c>
      <c r="Q247" s="99" t="s">
        <v>1429</v>
      </c>
      <c r="R247" s="99"/>
      <c r="S247" s="99"/>
      <c r="T247" s="99"/>
      <c r="U247" s="99"/>
      <c r="V247" s="99" t="s">
        <v>31</v>
      </c>
      <c r="W247" s="99" t="s">
        <v>32</v>
      </c>
      <c r="X247" s="99" t="s">
        <v>37</v>
      </c>
      <c r="Y247" s="99"/>
      <c r="Z247" s="99"/>
      <c r="AA247" s="99">
        <v>580</v>
      </c>
      <c r="AB247" s="99">
        <v>0</v>
      </c>
      <c r="AC247" s="99">
        <v>0</v>
      </c>
      <c r="AD247" s="99">
        <v>0</v>
      </c>
      <c r="AE247" s="99">
        <v>0</v>
      </c>
      <c r="AF247" s="99">
        <v>0</v>
      </c>
      <c r="AG247" s="99">
        <v>0</v>
      </c>
      <c r="AH247" s="99">
        <v>0</v>
      </c>
      <c r="AI247" s="99">
        <v>24</v>
      </c>
      <c r="AJ247" s="99">
        <v>0</v>
      </c>
      <c r="AK247" s="99">
        <v>0</v>
      </c>
      <c r="AL247" s="99">
        <v>0</v>
      </c>
      <c r="AM247" s="99">
        <v>0</v>
      </c>
      <c r="AN247" s="99">
        <v>0</v>
      </c>
      <c r="AO247" s="99">
        <v>0</v>
      </c>
      <c r="AP247" s="99">
        <v>0</v>
      </c>
      <c r="AQ247" s="99"/>
      <c r="AR247" s="99">
        <v>0</v>
      </c>
      <c r="AS247" s="99">
        <v>0</v>
      </c>
      <c r="AT247" s="99">
        <v>0</v>
      </c>
      <c r="AU247" s="99" t="s">
        <v>1345</v>
      </c>
      <c r="AV247" s="99">
        <v>0</v>
      </c>
      <c r="AW247" s="99" t="s">
        <v>530</v>
      </c>
      <c r="AX247" s="99"/>
    </row>
    <row r="248" spans="1:50" ht="18" customHeight="1" x14ac:dyDescent="0.25">
      <c r="A248" s="349" t="s">
        <v>470</v>
      </c>
      <c r="B248" s="99" t="s">
        <v>471</v>
      </c>
      <c r="C248" s="99" t="s">
        <v>44</v>
      </c>
      <c r="D248" s="99" t="s">
        <v>30</v>
      </c>
      <c r="E248" s="350">
        <v>41018</v>
      </c>
      <c r="F248" s="99" t="s">
        <v>37</v>
      </c>
      <c r="G248" s="590" t="s">
        <v>44</v>
      </c>
      <c r="H248" s="99">
        <v>240</v>
      </c>
      <c r="I248" s="351">
        <v>0.375</v>
      </c>
      <c r="J248" s="351">
        <v>0.70833333333333337</v>
      </c>
      <c r="K248" s="99" t="s">
        <v>1429</v>
      </c>
      <c r="L248" s="99" t="s">
        <v>1435</v>
      </c>
      <c r="M248" s="352">
        <v>43146</v>
      </c>
      <c r="N248" s="99" t="s">
        <v>1446</v>
      </c>
      <c r="O248" s="99" t="s">
        <v>1432</v>
      </c>
      <c r="P248" s="99" t="s">
        <v>37</v>
      </c>
      <c r="Q248" s="99" t="s">
        <v>1429</v>
      </c>
      <c r="R248" s="99" t="s">
        <v>1717</v>
      </c>
      <c r="S248" s="99" t="s">
        <v>1453</v>
      </c>
      <c r="T248" s="99"/>
      <c r="U248" s="99"/>
      <c r="V248" s="99" t="s">
        <v>46</v>
      </c>
      <c r="W248" s="99" t="s">
        <v>32</v>
      </c>
      <c r="X248" s="99" t="s">
        <v>37</v>
      </c>
      <c r="Y248" s="99">
        <v>2250</v>
      </c>
      <c r="Z248" s="99">
        <v>1</v>
      </c>
      <c r="AA248" s="99">
        <v>580</v>
      </c>
      <c r="AB248" s="99">
        <v>0</v>
      </c>
      <c r="AC248" s="99">
        <v>1480</v>
      </c>
      <c r="AD248" s="99">
        <v>0</v>
      </c>
      <c r="AE248" s="99">
        <v>0</v>
      </c>
      <c r="AF248" s="99">
        <v>0</v>
      </c>
      <c r="AG248" s="99">
        <v>2123</v>
      </c>
      <c r="AH248" s="99">
        <v>15</v>
      </c>
      <c r="AI248" s="99">
        <v>24</v>
      </c>
      <c r="AJ248" s="99">
        <v>0</v>
      </c>
      <c r="AK248" s="99">
        <v>0</v>
      </c>
      <c r="AL248" s="99">
        <v>0</v>
      </c>
      <c r="AM248" s="99">
        <v>0</v>
      </c>
      <c r="AN248" s="99">
        <v>0</v>
      </c>
      <c r="AO248" s="99">
        <v>0</v>
      </c>
      <c r="AP248" s="99">
        <v>0</v>
      </c>
      <c r="AQ248" s="99" t="s">
        <v>47</v>
      </c>
      <c r="AR248" s="99">
        <v>1763</v>
      </c>
      <c r="AS248" s="99">
        <v>4183</v>
      </c>
      <c r="AT248" s="99">
        <v>-1933</v>
      </c>
      <c r="AU248" s="99" t="s">
        <v>1345</v>
      </c>
      <c r="AV248" s="99">
        <v>45</v>
      </c>
      <c r="AW248" s="99" t="s">
        <v>529</v>
      </c>
      <c r="AX248" s="99" t="s">
        <v>1855</v>
      </c>
    </row>
    <row r="249" spans="1:50" ht="18" customHeight="1" x14ac:dyDescent="0.25">
      <c r="A249" s="349" t="s">
        <v>582</v>
      </c>
      <c r="B249" s="99" t="s">
        <v>583</v>
      </c>
      <c r="C249" s="99" t="s">
        <v>30</v>
      </c>
      <c r="D249" s="99" t="s">
        <v>30</v>
      </c>
      <c r="E249" s="350">
        <v>42370</v>
      </c>
      <c r="F249" s="99" t="s">
        <v>37</v>
      </c>
      <c r="G249" s="590" t="s">
        <v>544</v>
      </c>
      <c r="H249" s="99">
        <v>240</v>
      </c>
      <c r="I249" s="351">
        <v>0.375</v>
      </c>
      <c r="J249" s="351">
        <v>0.70833333333333337</v>
      </c>
      <c r="K249" s="99" t="s">
        <v>1429</v>
      </c>
      <c r="L249" s="99">
        <v>0</v>
      </c>
      <c r="M249" s="352">
        <v>43105</v>
      </c>
      <c r="N249" s="99" t="s">
        <v>1446</v>
      </c>
      <c r="O249" s="99" t="s">
        <v>1432</v>
      </c>
      <c r="P249" s="99" t="s">
        <v>37</v>
      </c>
      <c r="Q249" s="99" t="s">
        <v>1429</v>
      </c>
      <c r="R249" s="99" t="s">
        <v>1718</v>
      </c>
      <c r="S249" s="99" t="s">
        <v>1444</v>
      </c>
      <c r="T249" s="99"/>
      <c r="U249" s="99"/>
      <c r="V249" s="99" t="s">
        <v>46</v>
      </c>
      <c r="W249" s="99" t="s">
        <v>32</v>
      </c>
      <c r="X249" s="99" t="s">
        <v>37</v>
      </c>
      <c r="Y249" s="99">
        <v>2750</v>
      </c>
      <c r="Z249" s="99"/>
      <c r="AA249" s="99">
        <v>580</v>
      </c>
      <c r="AB249" s="99">
        <v>0</v>
      </c>
      <c r="AC249" s="99">
        <v>1480</v>
      </c>
      <c r="AD249" s="99">
        <v>0</v>
      </c>
      <c r="AE249" s="99">
        <v>0</v>
      </c>
      <c r="AF249" s="99">
        <v>0</v>
      </c>
      <c r="AG249" s="99">
        <v>120</v>
      </c>
      <c r="AH249" s="99">
        <v>5</v>
      </c>
      <c r="AI249" s="99">
        <v>24</v>
      </c>
      <c r="AJ249" s="99">
        <v>0</v>
      </c>
      <c r="AK249" s="99">
        <v>0</v>
      </c>
      <c r="AL249" s="99">
        <v>0</v>
      </c>
      <c r="AM249" s="99">
        <v>0</v>
      </c>
      <c r="AN249" s="99">
        <v>0</v>
      </c>
      <c r="AO249" s="99">
        <v>0</v>
      </c>
      <c r="AP249" s="99">
        <v>0</v>
      </c>
      <c r="AQ249" s="99" t="s">
        <v>576</v>
      </c>
      <c r="AR249" s="99">
        <v>0</v>
      </c>
      <c r="AS249" s="99">
        <v>1600</v>
      </c>
      <c r="AT249" s="99">
        <v>1150</v>
      </c>
      <c r="AU249" s="99" t="s">
        <v>1345</v>
      </c>
      <c r="AV249" s="99">
        <v>55</v>
      </c>
      <c r="AW249" s="99" t="s">
        <v>527</v>
      </c>
      <c r="AX249" s="99" t="s">
        <v>1861</v>
      </c>
    </row>
    <row r="250" spans="1:50" ht="18" customHeight="1" x14ac:dyDescent="0.25">
      <c r="A250" s="349" t="s">
        <v>472</v>
      </c>
      <c r="B250" s="99" t="s">
        <v>473</v>
      </c>
      <c r="C250" s="99" t="s">
        <v>30</v>
      </c>
      <c r="D250" s="99" t="s">
        <v>30</v>
      </c>
      <c r="E250" s="350">
        <v>41153</v>
      </c>
      <c r="F250" s="99" t="s">
        <v>37</v>
      </c>
      <c r="G250" s="590" t="s">
        <v>126</v>
      </c>
      <c r="H250" s="99">
        <v>240</v>
      </c>
      <c r="I250" s="351">
        <v>0.375</v>
      </c>
      <c r="J250" s="351">
        <v>0.70833333333333337</v>
      </c>
      <c r="K250" s="99" t="s">
        <v>1429</v>
      </c>
      <c r="L250" s="99" t="s">
        <v>1435</v>
      </c>
      <c r="M250" s="352">
        <v>43192</v>
      </c>
      <c r="N250" s="99" t="s">
        <v>1506</v>
      </c>
      <c r="O250" s="99" t="s">
        <v>1432</v>
      </c>
      <c r="P250" s="99" t="s">
        <v>37</v>
      </c>
      <c r="Q250" s="99" t="s">
        <v>1429</v>
      </c>
      <c r="R250" s="99" t="s">
        <v>1719</v>
      </c>
      <c r="S250" s="99" t="s">
        <v>1444</v>
      </c>
      <c r="T250" s="99"/>
      <c r="U250" s="99"/>
      <c r="V250" s="99" t="s">
        <v>46</v>
      </c>
      <c r="W250" s="99" t="s">
        <v>32</v>
      </c>
      <c r="X250" s="99" t="s">
        <v>37</v>
      </c>
      <c r="Y250" s="99">
        <v>5900</v>
      </c>
      <c r="Z250" s="99">
        <v>1</v>
      </c>
      <c r="AA250" s="99">
        <v>580</v>
      </c>
      <c r="AB250" s="99">
        <v>0</v>
      </c>
      <c r="AC250" s="99">
        <v>1480</v>
      </c>
      <c r="AD250" s="99">
        <v>0</v>
      </c>
      <c r="AE250" s="99">
        <v>0</v>
      </c>
      <c r="AF250" s="99">
        <v>0</v>
      </c>
      <c r="AG250" s="99">
        <v>2003</v>
      </c>
      <c r="AH250" s="99">
        <v>10</v>
      </c>
      <c r="AI250" s="99">
        <v>24</v>
      </c>
      <c r="AJ250" s="99">
        <v>0</v>
      </c>
      <c r="AK250" s="99">
        <v>0</v>
      </c>
      <c r="AL250" s="99">
        <v>0</v>
      </c>
      <c r="AM250" s="99">
        <v>0</v>
      </c>
      <c r="AN250" s="99">
        <v>0</v>
      </c>
      <c r="AO250" s="99">
        <v>0</v>
      </c>
      <c r="AP250" s="99">
        <v>0</v>
      </c>
      <c r="AQ250" s="99" t="s">
        <v>47</v>
      </c>
      <c r="AR250" s="99">
        <v>1763</v>
      </c>
      <c r="AS250" s="99">
        <v>4063</v>
      </c>
      <c r="AT250" s="99">
        <v>1837</v>
      </c>
      <c r="AU250" s="99" t="s">
        <v>1345</v>
      </c>
      <c r="AV250" s="99">
        <v>118</v>
      </c>
      <c r="AW250" s="99" t="s">
        <v>528</v>
      </c>
      <c r="AX250" s="99" t="s">
        <v>1838</v>
      </c>
    </row>
    <row r="251" spans="1:50" ht="18" customHeight="1" x14ac:dyDescent="0.25">
      <c r="A251" s="349" t="s">
        <v>474</v>
      </c>
      <c r="B251" s="99" t="s">
        <v>475</v>
      </c>
      <c r="C251" s="99" t="s">
        <v>35</v>
      </c>
      <c r="D251" s="99" t="s">
        <v>35</v>
      </c>
      <c r="E251" s="350">
        <v>41118</v>
      </c>
      <c r="F251" s="99" t="s">
        <v>37</v>
      </c>
      <c r="G251" s="590" t="s">
        <v>52</v>
      </c>
      <c r="H251" s="99">
        <v>120</v>
      </c>
      <c r="I251" s="351">
        <v>0.375</v>
      </c>
      <c r="J251" s="351">
        <v>0.70833333333333337</v>
      </c>
      <c r="K251" s="99" t="s">
        <v>1429</v>
      </c>
      <c r="L251" s="99" t="s">
        <v>1435</v>
      </c>
      <c r="M251" s="352">
        <v>43199</v>
      </c>
      <c r="N251" s="99" t="s">
        <v>1446</v>
      </c>
      <c r="O251" s="99" t="s">
        <v>1432</v>
      </c>
      <c r="P251" s="99" t="s">
        <v>37</v>
      </c>
      <c r="Q251" s="99" t="s">
        <v>1429</v>
      </c>
      <c r="R251" s="99" t="s">
        <v>1720</v>
      </c>
      <c r="S251" s="99" t="s">
        <v>1444</v>
      </c>
      <c r="T251" s="99"/>
      <c r="U251" s="99"/>
      <c r="V251" s="99" t="s">
        <v>46</v>
      </c>
      <c r="W251" s="99" t="s">
        <v>32</v>
      </c>
      <c r="X251" s="99" t="s">
        <v>37</v>
      </c>
      <c r="Y251" s="99">
        <v>5165</v>
      </c>
      <c r="Z251" s="99">
        <v>1</v>
      </c>
      <c r="AA251" s="99">
        <v>580</v>
      </c>
      <c r="AB251" s="99">
        <v>0</v>
      </c>
      <c r="AC251" s="99">
        <v>1480</v>
      </c>
      <c r="AD251" s="99">
        <v>0</v>
      </c>
      <c r="AE251" s="99">
        <v>0</v>
      </c>
      <c r="AF251" s="99">
        <v>0</v>
      </c>
      <c r="AG251" s="99">
        <v>2243</v>
      </c>
      <c r="AH251" s="99">
        <v>20</v>
      </c>
      <c r="AI251" s="99">
        <v>24</v>
      </c>
      <c r="AJ251" s="99">
        <v>0</v>
      </c>
      <c r="AK251" s="99">
        <v>0</v>
      </c>
      <c r="AL251" s="99">
        <v>0</v>
      </c>
      <c r="AM251" s="99">
        <v>0</v>
      </c>
      <c r="AN251" s="99">
        <v>0</v>
      </c>
      <c r="AO251" s="99">
        <v>0</v>
      </c>
      <c r="AP251" s="99">
        <v>0</v>
      </c>
      <c r="AQ251" s="99" t="s">
        <v>47</v>
      </c>
      <c r="AR251" s="99">
        <v>1763</v>
      </c>
      <c r="AS251" s="99">
        <v>4303</v>
      </c>
      <c r="AT251" s="99">
        <v>862</v>
      </c>
      <c r="AU251" s="99" t="s">
        <v>1345</v>
      </c>
      <c r="AV251" s="99">
        <v>103.3</v>
      </c>
      <c r="AW251" s="99" t="s">
        <v>528</v>
      </c>
      <c r="AX251" s="99" t="s">
        <v>1853</v>
      </c>
    </row>
    <row r="252" spans="1:50" ht="18" customHeight="1" x14ac:dyDescent="0.25">
      <c r="A252" s="349" t="s">
        <v>476</v>
      </c>
      <c r="B252" s="99" t="s">
        <v>477</v>
      </c>
      <c r="C252" s="99" t="s">
        <v>38</v>
      </c>
      <c r="D252" s="99" t="s">
        <v>38</v>
      </c>
      <c r="E252" s="350">
        <v>42309</v>
      </c>
      <c r="F252" s="99" t="s">
        <v>1429</v>
      </c>
      <c r="G252" s="590" t="s">
        <v>66</v>
      </c>
      <c r="H252" s="99">
        <v>0</v>
      </c>
      <c r="I252" s="351">
        <v>0.375</v>
      </c>
      <c r="J252" s="351">
        <v>0.70833333333333337</v>
      </c>
      <c r="K252" s="99" t="s">
        <v>1429</v>
      </c>
      <c r="L252" s="99" t="s">
        <v>1435</v>
      </c>
      <c r="M252" s="352">
        <v>43313</v>
      </c>
      <c r="N252" s="99" t="s">
        <v>1446</v>
      </c>
      <c r="O252" s="99" t="s">
        <v>1432</v>
      </c>
      <c r="P252" s="99" t="s">
        <v>1429</v>
      </c>
      <c r="Q252" s="99" t="s">
        <v>1429</v>
      </c>
      <c r="R252" s="99" t="s">
        <v>1721</v>
      </c>
      <c r="S252" s="99" t="s">
        <v>1444</v>
      </c>
      <c r="T252" s="350">
        <v>44135</v>
      </c>
      <c r="U252" s="99"/>
      <c r="V252" s="99" t="s">
        <v>46</v>
      </c>
      <c r="W252" s="99" t="s">
        <v>32</v>
      </c>
      <c r="X252" s="99" t="s">
        <v>37</v>
      </c>
      <c r="Y252" s="99">
        <v>4000</v>
      </c>
      <c r="Z252" s="99">
        <v>0</v>
      </c>
      <c r="AA252" s="99">
        <v>580</v>
      </c>
      <c r="AB252" s="99">
        <v>0</v>
      </c>
      <c r="AC252" s="99">
        <v>1480</v>
      </c>
      <c r="AD252" s="99">
        <v>0</v>
      </c>
      <c r="AE252" s="99">
        <v>0</v>
      </c>
      <c r="AF252" s="99">
        <v>0</v>
      </c>
      <c r="AG252" s="99">
        <v>2003</v>
      </c>
      <c r="AH252" s="99">
        <v>10</v>
      </c>
      <c r="AI252" s="99">
        <v>24</v>
      </c>
      <c r="AJ252" s="99">
        <v>0</v>
      </c>
      <c r="AK252" s="99">
        <v>0</v>
      </c>
      <c r="AL252" s="99">
        <v>0</v>
      </c>
      <c r="AM252" s="99">
        <v>0</v>
      </c>
      <c r="AN252" s="99">
        <v>0</v>
      </c>
      <c r="AO252" s="99">
        <v>0</v>
      </c>
      <c r="AP252" s="99">
        <v>0</v>
      </c>
      <c r="AQ252" s="99" t="s">
        <v>47</v>
      </c>
      <c r="AR252" s="99">
        <v>1763</v>
      </c>
      <c r="AS252" s="99">
        <v>3483</v>
      </c>
      <c r="AT252" s="99">
        <v>517</v>
      </c>
      <c r="AU252" s="99" t="s">
        <v>1345</v>
      </c>
      <c r="AV252" s="99">
        <v>80</v>
      </c>
      <c r="AW252" s="99" t="s">
        <v>528</v>
      </c>
      <c r="AX252" s="99" t="s">
        <v>1852</v>
      </c>
    </row>
    <row r="253" spans="1:50" ht="18" customHeight="1" x14ac:dyDescent="0.25">
      <c r="A253" s="349" t="s">
        <v>478</v>
      </c>
      <c r="B253" s="99" t="s">
        <v>479</v>
      </c>
      <c r="C253" s="99" t="s">
        <v>30</v>
      </c>
      <c r="D253" s="99" t="s">
        <v>30</v>
      </c>
      <c r="E253" s="350">
        <v>41228</v>
      </c>
      <c r="F253" s="99" t="s">
        <v>37</v>
      </c>
      <c r="G253" s="590" t="s">
        <v>52</v>
      </c>
      <c r="H253" s="99">
        <v>240</v>
      </c>
      <c r="I253" s="351">
        <v>0.375</v>
      </c>
      <c r="J253" s="351">
        <v>0.70833333333333337</v>
      </c>
      <c r="K253" s="99" t="s">
        <v>1429</v>
      </c>
      <c r="L253" s="99" t="s">
        <v>1435</v>
      </c>
      <c r="M253" s="99" t="s">
        <v>1456</v>
      </c>
      <c r="N253" s="99" t="s">
        <v>1696</v>
      </c>
      <c r="O253" s="99" t="s">
        <v>1432</v>
      </c>
      <c r="P253" s="99" t="s">
        <v>37</v>
      </c>
      <c r="Q253" s="99" t="s">
        <v>1429</v>
      </c>
      <c r="R253" s="99" t="s">
        <v>1722</v>
      </c>
      <c r="S253" s="99" t="s">
        <v>1444</v>
      </c>
      <c r="T253" s="99"/>
      <c r="U253" s="99"/>
      <c r="V253" s="99" t="s">
        <v>46</v>
      </c>
      <c r="W253" s="99" t="s">
        <v>32</v>
      </c>
      <c r="X253" s="99" t="s">
        <v>37</v>
      </c>
      <c r="Y253" s="99">
        <v>1521</v>
      </c>
      <c r="Z253" s="99">
        <v>0</v>
      </c>
      <c r="AA253" s="99">
        <v>580</v>
      </c>
      <c r="AB253" s="99">
        <v>0</v>
      </c>
      <c r="AC253" s="99">
        <v>1480</v>
      </c>
      <c r="AD253" s="99">
        <v>0</v>
      </c>
      <c r="AE253" s="99">
        <v>0</v>
      </c>
      <c r="AF253" s="99">
        <v>0</v>
      </c>
      <c r="AG253" s="99">
        <v>1811</v>
      </c>
      <c r="AH253" s="99">
        <v>2</v>
      </c>
      <c r="AI253" s="99">
        <v>24</v>
      </c>
      <c r="AJ253" s="99">
        <v>0</v>
      </c>
      <c r="AK253" s="99">
        <v>0</v>
      </c>
      <c r="AL253" s="99">
        <v>0</v>
      </c>
      <c r="AM253" s="99">
        <v>0</v>
      </c>
      <c r="AN253" s="99">
        <v>0</v>
      </c>
      <c r="AO253" s="99">
        <v>0</v>
      </c>
      <c r="AP253" s="99">
        <v>0</v>
      </c>
      <c r="AQ253" s="99" t="s">
        <v>47</v>
      </c>
      <c r="AR253" s="99">
        <v>1763</v>
      </c>
      <c r="AS253" s="99">
        <v>3291</v>
      </c>
      <c r="AT253" s="99">
        <v>-1770</v>
      </c>
      <c r="AU253" s="99" t="s">
        <v>1345</v>
      </c>
      <c r="AV253" s="99">
        <v>30.42</v>
      </c>
      <c r="AW253" s="99" t="s">
        <v>530</v>
      </c>
      <c r="AX253" s="99" t="s">
        <v>1854</v>
      </c>
    </row>
    <row r="254" spans="1:50" ht="18" customHeight="1" x14ac:dyDescent="0.25">
      <c r="A254" s="349" t="s">
        <v>480</v>
      </c>
      <c r="B254" s="99" t="s">
        <v>481</v>
      </c>
      <c r="C254" s="99" t="s">
        <v>40</v>
      </c>
      <c r="D254" s="99" t="s">
        <v>30</v>
      </c>
      <c r="E254" s="350">
        <v>39995</v>
      </c>
      <c r="F254" s="99" t="s">
        <v>1429</v>
      </c>
      <c r="G254" s="590" t="s">
        <v>40</v>
      </c>
      <c r="H254" s="99">
        <v>360</v>
      </c>
      <c r="I254" s="99"/>
      <c r="J254" s="99"/>
      <c r="K254" s="99" t="s">
        <v>1429</v>
      </c>
      <c r="L254" s="99">
        <v>0</v>
      </c>
      <c r="M254" s="352">
        <v>43285</v>
      </c>
      <c r="N254" s="99" t="s">
        <v>1584</v>
      </c>
      <c r="O254" s="99"/>
      <c r="P254" s="99" t="s">
        <v>1429</v>
      </c>
      <c r="Q254" s="99" t="s">
        <v>1429</v>
      </c>
      <c r="R254" s="99" t="s">
        <v>1723</v>
      </c>
      <c r="S254" s="99" t="s">
        <v>1453</v>
      </c>
      <c r="T254" s="99"/>
      <c r="U254" s="99"/>
      <c r="V254" s="99" t="s">
        <v>31</v>
      </c>
      <c r="W254" s="99" t="s">
        <v>32</v>
      </c>
      <c r="X254" s="99" t="s">
        <v>1429</v>
      </c>
      <c r="Y254" s="99">
        <v>750</v>
      </c>
      <c r="Z254" s="99">
        <v>0</v>
      </c>
      <c r="AA254" s="99">
        <v>580</v>
      </c>
      <c r="AB254" s="99">
        <v>0</v>
      </c>
      <c r="AC254" s="99">
        <v>0</v>
      </c>
      <c r="AD254" s="99">
        <v>0</v>
      </c>
      <c r="AE254" s="99">
        <v>0</v>
      </c>
      <c r="AF254" s="99">
        <v>0</v>
      </c>
      <c r="AG254" s="99">
        <v>2003</v>
      </c>
      <c r="AH254" s="99">
        <v>10</v>
      </c>
      <c r="AI254" s="99">
        <v>24</v>
      </c>
      <c r="AJ254" s="99">
        <v>0</v>
      </c>
      <c r="AK254" s="99">
        <v>0</v>
      </c>
      <c r="AL254" s="99">
        <v>0</v>
      </c>
      <c r="AM254" s="99">
        <v>0</v>
      </c>
      <c r="AN254" s="99">
        <v>0</v>
      </c>
      <c r="AO254" s="99">
        <v>0</v>
      </c>
      <c r="AP254" s="99">
        <v>0</v>
      </c>
      <c r="AQ254" s="99"/>
      <c r="AR254" s="99">
        <v>1763</v>
      </c>
      <c r="AS254" s="99">
        <v>2003</v>
      </c>
      <c r="AT254" s="99">
        <v>-1253</v>
      </c>
      <c r="AU254" s="99" t="s">
        <v>1345</v>
      </c>
      <c r="AV254" s="99">
        <v>15</v>
      </c>
      <c r="AW254" s="99" t="s">
        <v>530</v>
      </c>
      <c r="AX254" s="99" t="s">
        <v>1041</v>
      </c>
    </row>
    <row r="255" spans="1:50" ht="18" customHeight="1" x14ac:dyDescent="0.25">
      <c r="A255" s="349" t="s">
        <v>800</v>
      </c>
      <c r="B255" s="99" t="s">
        <v>684</v>
      </c>
      <c r="C255" s="99" t="s">
        <v>30</v>
      </c>
      <c r="D255" s="99" t="s">
        <v>30</v>
      </c>
      <c r="E255" s="350">
        <v>42491</v>
      </c>
      <c r="F255" s="99" t="s">
        <v>37</v>
      </c>
      <c r="G255" s="590" t="s">
        <v>544</v>
      </c>
      <c r="H255" s="99">
        <v>240</v>
      </c>
      <c r="I255" s="351">
        <v>0.375</v>
      </c>
      <c r="J255" s="351">
        <v>0.70833333333333337</v>
      </c>
      <c r="K255" s="99" t="s">
        <v>1429</v>
      </c>
      <c r="L255" s="99" t="s">
        <v>1435</v>
      </c>
      <c r="M255" s="352">
        <v>43265</v>
      </c>
      <c r="N255" s="99" t="s">
        <v>1446</v>
      </c>
      <c r="O255" s="99" t="s">
        <v>1432</v>
      </c>
      <c r="P255" s="99" t="s">
        <v>37</v>
      </c>
      <c r="Q255" s="99" t="s">
        <v>1429</v>
      </c>
      <c r="R255" s="99" t="s">
        <v>1724</v>
      </c>
      <c r="S255" s="99" t="s">
        <v>1444</v>
      </c>
      <c r="T255" s="350">
        <v>43951</v>
      </c>
      <c r="U255" s="99"/>
      <c r="V255" s="99" t="s">
        <v>46</v>
      </c>
      <c r="W255" s="99" t="s">
        <v>32</v>
      </c>
      <c r="X255" s="99" t="s">
        <v>37</v>
      </c>
      <c r="Y255" s="99">
        <v>3000</v>
      </c>
      <c r="Z255" s="99">
        <v>1</v>
      </c>
      <c r="AA255" s="99">
        <v>580</v>
      </c>
      <c r="AB255" s="99">
        <v>0</v>
      </c>
      <c r="AC255" s="99">
        <v>1480</v>
      </c>
      <c r="AD255" s="99">
        <v>0</v>
      </c>
      <c r="AE255" s="99">
        <v>0</v>
      </c>
      <c r="AF255" s="99">
        <v>0</v>
      </c>
      <c r="AG255" s="99">
        <v>1907</v>
      </c>
      <c r="AH255" s="99">
        <v>6</v>
      </c>
      <c r="AI255" s="99">
        <v>24</v>
      </c>
      <c r="AJ255" s="99">
        <v>0</v>
      </c>
      <c r="AK255" s="99">
        <v>0</v>
      </c>
      <c r="AL255" s="99">
        <v>0</v>
      </c>
      <c r="AM255" s="99">
        <v>0</v>
      </c>
      <c r="AN255" s="99">
        <v>0</v>
      </c>
      <c r="AO255" s="99">
        <v>0</v>
      </c>
      <c r="AP255" s="99">
        <v>0</v>
      </c>
      <c r="AQ255" s="99" t="s">
        <v>47</v>
      </c>
      <c r="AR255" s="99">
        <v>1763</v>
      </c>
      <c r="AS255" s="99">
        <v>3967</v>
      </c>
      <c r="AT255" s="99">
        <v>-967</v>
      </c>
      <c r="AU255" s="99" t="s">
        <v>1345</v>
      </c>
      <c r="AV255" s="99">
        <v>60</v>
      </c>
      <c r="AW255" s="99" t="s">
        <v>530</v>
      </c>
      <c r="AX255" s="99" t="s">
        <v>1861</v>
      </c>
    </row>
    <row r="256" spans="1:50" ht="18" customHeight="1" x14ac:dyDescent="0.25">
      <c r="A256" s="349" t="s">
        <v>484</v>
      </c>
      <c r="B256" s="99" t="s">
        <v>485</v>
      </c>
      <c r="C256" s="99" t="s">
        <v>55</v>
      </c>
      <c r="D256" s="99" t="s">
        <v>56</v>
      </c>
      <c r="E256" s="350">
        <v>41275</v>
      </c>
      <c r="F256" s="99" t="s">
        <v>37</v>
      </c>
      <c r="G256" s="590" t="s">
        <v>55</v>
      </c>
      <c r="H256" s="99">
        <v>120</v>
      </c>
      <c r="I256" s="351">
        <v>0.375</v>
      </c>
      <c r="J256" s="351">
        <v>0.70833333333333337</v>
      </c>
      <c r="K256" s="99" t="s">
        <v>1429</v>
      </c>
      <c r="L256" s="99" t="s">
        <v>1435</v>
      </c>
      <c r="M256" s="99">
        <v>2</v>
      </c>
      <c r="N256" s="99" t="s">
        <v>1725</v>
      </c>
      <c r="O256" s="99" t="s">
        <v>1432</v>
      </c>
      <c r="P256" s="99" t="s">
        <v>37</v>
      </c>
      <c r="Q256" s="99" t="s">
        <v>1429</v>
      </c>
      <c r="R256" s="99" t="s">
        <v>1726</v>
      </c>
      <c r="S256" s="99" t="s">
        <v>1453</v>
      </c>
      <c r="T256" s="350">
        <v>43465</v>
      </c>
      <c r="U256" s="99"/>
      <c r="V256" s="99" t="s">
        <v>31</v>
      </c>
      <c r="W256" s="99" t="s">
        <v>32</v>
      </c>
      <c r="X256" s="99" t="s">
        <v>37</v>
      </c>
      <c r="Y256" s="99">
        <v>1000</v>
      </c>
      <c r="Z256" s="99">
        <v>0</v>
      </c>
      <c r="AA256" s="99">
        <v>580</v>
      </c>
      <c r="AB256" s="99">
        <v>0</v>
      </c>
      <c r="AC256" s="99">
        <v>0</v>
      </c>
      <c r="AD256" s="99">
        <v>0</v>
      </c>
      <c r="AE256" s="99">
        <v>0</v>
      </c>
      <c r="AF256" s="99">
        <v>0</v>
      </c>
      <c r="AG256" s="99">
        <v>1883</v>
      </c>
      <c r="AH256" s="99">
        <v>5</v>
      </c>
      <c r="AI256" s="99">
        <v>24</v>
      </c>
      <c r="AJ256" s="99">
        <v>0</v>
      </c>
      <c r="AK256" s="99">
        <v>0</v>
      </c>
      <c r="AL256" s="99">
        <v>0</v>
      </c>
      <c r="AM256" s="99">
        <v>0</v>
      </c>
      <c r="AN256" s="99">
        <v>0</v>
      </c>
      <c r="AO256" s="99">
        <v>0</v>
      </c>
      <c r="AP256" s="99">
        <v>0</v>
      </c>
      <c r="AQ256" s="99"/>
      <c r="AR256" s="99">
        <v>1763</v>
      </c>
      <c r="AS256" s="99">
        <v>1883</v>
      </c>
      <c r="AT256" s="99">
        <v>-883</v>
      </c>
      <c r="AU256" s="99" t="s">
        <v>1345</v>
      </c>
      <c r="AV256" s="99">
        <v>20</v>
      </c>
      <c r="AW256" s="99" t="s">
        <v>530</v>
      </c>
      <c r="AX256" s="99" t="s">
        <v>1044</v>
      </c>
    </row>
    <row r="257" spans="1:50" ht="18" customHeight="1" x14ac:dyDescent="0.25">
      <c r="A257" s="349" t="s">
        <v>486</v>
      </c>
      <c r="B257" s="99" t="s">
        <v>487</v>
      </c>
      <c r="C257" s="99" t="s">
        <v>35</v>
      </c>
      <c r="D257" s="99" t="s">
        <v>35</v>
      </c>
      <c r="E257" s="350">
        <v>41124</v>
      </c>
      <c r="F257" s="99" t="s">
        <v>37</v>
      </c>
      <c r="G257" s="590" t="s">
        <v>44</v>
      </c>
      <c r="H257" s="99">
        <v>240</v>
      </c>
      <c r="I257" s="351">
        <v>0.375</v>
      </c>
      <c r="J257" s="351">
        <v>0.70833333333333337</v>
      </c>
      <c r="K257" s="99" t="s">
        <v>1429</v>
      </c>
      <c r="L257" s="99" t="s">
        <v>1435</v>
      </c>
      <c r="M257" s="352">
        <v>43315</v>
      </c>
      <c r="N257" s="99" t="s">
        <v>1446</v>
      </c>
      <c r="O257" s="99" t="s">
        <v>1432</v>
      </c>
      <c r="P257" s="99" t="s">
        <v>37</v>
      </c>
      <c r="Q257" s="99" t="s">
        <v>1429</v>
      </c>
      <c r="R257" s="99" t="s">
        <v>1727</v>
      </c>
      <c r="S257" s="99" t="s">
        <v>1444</v>
      </c>
      <c r="T257" s="99"/>
      <c r="U257" s="99"/>
      <c r="V257" s="99" t="s">
        <v>46</v>
      </c>
      <c r="W257" s="99" t="s">
        <v>32</v>
      </c>
      <c r="X257" s="99" t="s">
        <v>37</v>
      </c>
      <c r="Y257" s="99">
        <v>1990</v>
      </c>
      <c r="Z257" s="99">
        <v>0</v>
      </c>
      <c r="AA257" s="99">
        <v>580</v>
      </c>
      <c r="AB257" s="99">
        <v>0</v>
      </c>
      <c r="AC257" s="99">
        <v>1480</v>
      </c>
      <c r="AD257" s="99">
        <v>0</v>
      </c>
      <c r="AE257" s="99">
        <v>0</v>
      </c>
      <c r="AF257" s="99">
        <v>0</v>
      </c>
      <c r="AG257" s="99">
        <v>2003</v>
      </c>
      <c r="AH257" s="99">
        <v>10</v>
      </c>
      <c r="AI257" s="99">
        <v>24</v>
      </c>
      <c r="AJ257" s="99">
        <v>0</v>
      </c>
      <c r="AK257" s="99">
        <v>0</v>
      </c>
      <c r="AL257" s="99">
        <v>0</v>
      </c>
      <c r="AM257" s="99">
        <v>0</v>
      </c>
      <c r="AN257" s="99">
        <v>0</v>
      </c>
      <c r="AO257" s="99">
        <v>0</v>
      </c>
      <c r="AP257" s="99">
        <v>0</v>
      </c>
      <c r="AQ257" s="99" t="s">
        <v>47</v>
      </c>
      <c r="AR257" s="99">
        <v>1763</v>
      </c>
      <c r="AS257" s="99">
        <v>3483</v>
      </c>
      <c r="AT257" s="99">
        <v>-1493</v>
      </c>
      <c r="AU257" s="99" t="s">
        <v>1345</v>
      </c>
      <c r="AV257" s="99">
        <v>39.799999999999997</v>
      </c>
      <c r="AW257" s="99" t="s">
        <v>530</v>
      </c>
      <c r="AX257" s="99" t="s">
        <v>1866</v>
      </c>
    </row>
    <row r="258" spans="1:50" ht="18" customHeight="1" x14ac:dyDescent="0.25">
      <c r="A258" s="349" t="s">
        <v>488</v>
      </c>
      <c r="B258" s="99" t="s">
        <v>489</v>
      </c>
      <c r="C258" s="99" t="s">
        <v>30</v>
      </c>
      <c r="D258" s="99" t="s">
        <v>30</v>
      </c>
      <c r="E258" s="350">
        <v>40953</v>
      </c>
      <c r="F258" s="99" t="s">
        <v>1429</v>
      </c>
      <c r="G258" s="590" t="s">
        <v>52</v>
      </c>
      <c r="H258" s="99">
        <v>0</v>
      </c>
      <c r="I258" s="351">
        <v>0.375</v>
      </c>
      <c r="J258" s="351">
        <v>0.625</v>
      </c>
      <c r="K258" s="99" t="s">
        <v>1429</v>
      </c>
      <c r="L258" s="99">
        <v>95</v>
      </c>
      <c r="M258" s="352">
        <v>43307</v>
      </c>
      <c r="N258" s="99" t="s">
        <v>1666</v>
      </c>
      <c r="O258" s="99" t="s">
        <v>1432</v>
      </c>
      <c r="P258" s="99" t="s">
        <v>1429</v>
      </c>
      <c r="Q258" s="99" t="s">
        <v>1429</v>
      </c>
      <c r="R258" s="99" t="s">
        <v>1728</v>
      </c>
      <c r="S258" s="99" t="s">
        <v>1453</v>
      </c>
      <c r="T258" s="99"/>
      <c r="U258" s="99"/>
      <c r="V258" s="99" t="s">
        <v>46</v>
      </c>
      <c r="W258" s="99" t="s">
        <v>32</v>
      </c>
      <c r="X258" s="99" t="s">
        <v>37</v>
      </c>
      <c r="Y258" s="99">
        <v>5000</v>
      </c>
      <c r="Z258" s="99">
        <v>0</v>
      </c>
      <c r="AA258" s="99">
        <v>580</v>
      </c>
      <c r="AB258" s="99">
        <v>0</v>
      </c>
      <c r="AC258" s="99">
        <v>1480</v>
      </c>
      <c r="AD258" s="99">
        <v>0</v>
      </c>
      <c r="AE258" s="99">
        <v>0</v>
      </c>
      <c r="AF258" s="99">
        <v>0</v>
      </c>
      <c r="AG258" s="99">
        <v>2003</v>
      </c>
      <c r="AH258" s="99">
        <v>10</v>
      </c>
      <c r="AI258" s="99">
        <v>24</v>
      </c>
      <c r="AJ258" s="99">
        <v>0</v>
      </c>
      <c r="AK258" s="99">
        <v>0</v>
      </c>
      <c r="AL258" s="99">
        <v>0</v>
      </c>
      <c r="AM258" s="99">
        <v>0</v>
      </c>
      <c r="AN258" s="99">
        <v>0</v>
      </c>
      <c r="AO258" s="99">
        <v>0</v>
      </c>
      <c r="AP258" s="99">
        <v>0</v>
      </c>
      <c r="AQ258" s="99" t="s">
        <v>47</v>
      </c>
      <c r="AR258" s="99">
        <v>1763</v>
      </c>
      <c r="AS258" s="99">
        <v>3483</v>
      </c>
      <c r="AT258" s="99">
        <v>1517</v>
      </c>
      <c r="AU258" s="99" t="s">
        <v>1345</v>
      </c>
      <c r="AV258" s="99">
        <v>100</v>
      </c>
      <c r="AW258" s="99" t="s">
        <v>677</v>
      </c>
      <c r="AX258" s="99" t="s">
        <v>1866</v>
      </c>
    </row>
    <row r="259" spans="1:50" ht="18" customHeight="1" x14ac:dyDescent="0.25">
      <c r="A259" s="349" t="s">
        <v>610</v>
      </c>
      <c r="B259" s="99" t="s">
        <v>611</v>
      </c>
      <c r="C259" s="99" t="s">
        <v>56</v>
      </c>
      <c r="D259" s="99" t="s">
        <v>56</v>
      </c>
      <c r="E259" s="350">
        <v>42435</v>
      </c>
      <c r="F259" s="99" t="s">
        <v>37</v>
      </c>
      <c r="G259" s="590" t="s">
        <v>545</v>
      </c>
      <c r="H259" s="99">
        <v>240</v>
      </c>
      <c r="I259" s="351">
        <v>0.375</v>
      </c>
      <c r="J259" s="351">
        <v>0.70833333333333337</v>
      </c>
      <c r="K259" s="99" t="s">
        <v>1429</v>
      </c>
      <c r="L259" s="99" t="s">
        <v>1435</v>
      </c>
      <c r="M259" s="352">
        <v>43256</v>
      </c>
      <c r="N259" s="99" t="s">
        <v>1446</v>
      </c>
      <c r="O259" s="99" t="s">
        <v>1432</v>
      </c>
      <c r="P259" s="99" t="s">
        <v>37</v>
      </c>
      <c r="Q259" s="99" t="s">
        <v>1429</v>
      </c>
      <c r="R259" s="99" t="s">
        <v>1729</v>
      </c>
      <c r="S259" s="99" t="s">
        <v>1444</v>
      </c>
      <c r="T259" s="99"/>
      <c r="U259" s="99"/>
      <c r="V259" s="99" t="s">
        <v>46</v>
      </c>
      <c r="W259" s="99" t="s">
        <v>32</v>
      </c>
      <c r="X259" s="99" t="s">
        <v>37</v>
      </c>
      <c r="Y259" s="99">
        <v>800</v>
      </c>
      <c r="Z259" s="99"/>
      <c r="AA259" s="99">
        <v>580</v>
      </c>
      <c r="AB259" s="99">
        <v>0</v>
      </c>
      <c r="AC259" s="99">
        <v>1480</v>
      </c>
      <c r="AD259" s="99">
        <v>0</v>
      </c>
      <c r="AE259" s="99">
        <v>0</v>
      </c>
      <c r="AF259" s="99">
        <v>0</v>
      </c>
      <c r="AG259" s="99">
        <v>1883</v>
      </c>
      <c r="AH259" s="99">
        <v>5</v>
      </c>
      <c r="AI259" s="99">
        <v>24</v>
      </c>
      <c r="AJ259" s="99">
        <v>0</v>
      </c>
      <c r="AK259" s="99">
        <v>0</v>
      </c>
      <c r="AL259" s="99">
        <v>0</v>
      </c>
      <c r="AM259" s="99">
        <v>0</v>
      </c>
      <c r="AN259" s="99">
        <v>0</v>
      </c>
      <c r="AO259" s="99">
        <v>0</v>
      </c>
      <c r="AP259" s="99">
        <v>0</v>
      </c>
      <c r="AQ259" s="99" t="s">
        <v>576</v>
      </c>
      <c r="AR259" s="99">
        <v>1763</v>
      </c>
      <c r="AS259" s="99">
        <v>3363</v>
      </c>
      <c r="AT259" s="99">
        <v>-2563</v>
      </c>
      <c r="AU259" s="99" t="s">
        <v>1345</v>
      </c>
      <c r="AV259" s="99">
        <v>16</v>
      </c>
      <c r="AW259" s="99" t="s">
        <v>530</v>
      </c>
      <c r="AX259" s="99" t="s">
        <v>1857</v>
      </c>
    </row>
    <row r="260" spans="1:50" ht="18" customHeight="1" x14ac:dyDescent="0.25">
      <c r="A260" s="349" t="s">
        <v>490</v>
      </c>
      <c r="B260" s="99" t="s">
        <v>491</v>
      </c>
      <c r="C260" s="99" t="s">
        <v>35</v>
      </c>
      <c r="D260" s="99" t="s">
        <v>35</v>
      </c>
      <c r="E260" s="350">
        <v>40893</v>
      </c>
      <c r="F260" s="99" t="s">
        <v>1429</v>
      </c>
      <c r="G260" s="590" t="s">
        <v>52</v>
      </c>
      <c r="H260" s="99">
        <v>120</v>
      </c>
      <c r="I260" s="351">
        <v>0.375</v>
      </c>
      <c r="J260" s="351">
        <v>0.70833333333333337</v>
      </c>
      <c r="K260" s="99" t="s">
        <v>1429</v>
      </c>
      <c r="L260" s="99" t="s">
        <v>1730</v>
      </c>
      <c r="M260" s="99" t="s">
        <v>1731</v>
      </c>
      <c r="N260" s="99" t="s">
        <v>1666</v>
      </c>
      <c r="O260" s="99" t="s">
        <v>1432</v>
      </c>
      <c r="P260" s="99" t="s">
        <v>37</v>
      </c>
      <c r="Q260" s="99" t="s">
        <v>1429</v>
      </c>
      <c r="R260" s="99" t="s">
        <v>1732</v>
      </c>
      <c r="S260" s="99" t="s">
        <v>1453</v>
      </c>
      <c r="T260" s="99"/>
      <c r="U260" s="99"/>
      <c r="V260" s="99" t="s">
        <v>46</v>
      </c>
      <c r="W260" s="99" t="s">
        <v>32</v>
      </c>
      <c r="X260" s="99" t="s">
        <v>37</v>
      </c>
      <c r="Y260" s="99">
        <v>5000</v>
      </c>
      <c r="Z260" s="99">
        <v>1</v>
      </c>
      <c r="AA260" s="99">
        <v>580</v>
      </c>
      <c r="AB260" s="99">
        <v>0</v>
      </c>
      <c r="AC260" s="99">
        <v>1480</v>
      </c>
      <c r="AD260" s="99">
        <v>0</v>
      </c>
      <c r="AE260" s="99">
        <v>0</v>
      </c>
      <c r="AF260" s="99">
        <v>0</v>
      </c>
      <c r="AG260" s="99">
        <v>2003</v>
      </c>
      <c r="AH260" s="99">
        <v>10</v>
      </c>
      <c r="AI260" s="99">
        <v>24</v>
      </c>
      <c r="AJ260" s="99">
        <v>0</v>
      </c>
      <c r="AK260" s="99">
        <v>0</v>
      </c>
      <c r="AL260" s="99">
        <v>0</v>
      </c>
      <c r="AM260" s="99">
        <v>0</v>
      </c>
      <c r="AN260" s="99">
        <v>0</v>
      </c>
      <c r="AO260" s="99">
        <v>0</v>
      </c>
      <c r="AP260" s="99">
        <v>0</v>
      </c>
      <c r="AQ260" s="99" t="s">
        <v>47</v>
      </c>
      <c r="AR260" s="99">
        <v>1763</v>
      </c>
      <c r="AS260" s="99">
        <v>4063</v>
      </c>
      <c r="AT260" s="99">
        <v>937</v>
      </c>
      <c r="AU260" s="99" t="s">
        <v>1345</v>
      </c>
      <c r="AV260" s="99">
        <v>100</v>
      </c>
      <c r="AW260" s="99" t="s">
        <v>528</v>
      </c>
      <c r="AX260" s="99" t="s">
        <v>1795</v>
      </c>
    </row>
    <row r="261" spans="1:50" ht="18" customHeight="1" x14ac:dyDescent="0.25">
      <c r="A261" s="349" t="s">
        <v>492</v>
      </c>
      <c r="B261" s="99" t="s">
        <v>493</v>
      </c>
      <c r="C261" s="99" t="s">
        <v>35</v>
      </c>
      <c r="D261" s="99" t="s">
        <v>35</v>
      </c>
      <c r="E261" s="350">
        <v>40721</v>
      </c>
      <c r="F261" s="99" t="s">
        <v>37</v>
      </c>
      <c r="G261" s="590" t="s">
        <v>55</v>
      </c>
      <c r="H261" s="99">
        <v>120</v>
      </c>
      <c r="I261" s="351">
        <v>0.375</v>
      </c>
      <c r="J261" s="351">
        <v>0.70833333333333337</v>
      </c>
      <c r="K261" s="99" t="s">
        <v>1429</v>
      </c>
      <c r="L261" s="99" t="s">
        <v>1435</v>
      </c>
      <c r="M261" s="352">
        <v>43316</v>
      </c>
      <c r="N261" s="99" t="s">
        <v>1705</v>
      </c>
      <c r="O261" s="99" t="s">
        <v>1432</v>
      </c>
      <c r="P261" s="99" t="s">
        <v>37</v>
      </c>
      <c r="Q261" s="99" t="s">
        <v>1429</v>
      </c>
      <c r="R261" s="99" t="s">
        <v>1733</v>
      </c>
      <c r="S261" s="99" t="s">
        <v>1584</v>
      </c>
      <c r="T261" s="99"/>
      <c r="U261" s="99"/>
      <c r="V261" s="99" t="s">
        <v>31</v>
      </c>
      <c r="W261" s="99" t="s">
        <v>32</v>
      </c>
      <c r="X261" s="99" t="s">
        <v>37</v>
      </c>
      <c r="Y261" s="99">
        <v>1107</v>
      </c>
      <c r="Z261" s="99">
        <v>0</v>
      </c>
      <c r="AA261" s="99">
        <v>580</v>
      </c>
      <c r="AB261" s="99">
        <v>0</v>
      </c>
      <c r="AC261" s="99">
        <v>0</v>
      </c>
      <c r="AD261" s="99">
        <v>0</v>
      </c>
      <c r="AE261" s="99">
        <v>0</v>
      </c>
      <c r="AF261" s="99">
        <v>0</v>
      </c>
      <c r="AG261" s="99">
        <v>1811</v>
      </c>
      <c r="AH261" s="99">
        <v>2</v>
      </c>
      <c r="AI261" s="99">
        <v>24</v>
      </c>
      <c r="AJ261" s="99">
        <v>0</v>
      </c>
      <c r="AK261" s="99">
        <v>0</v>
      </c>
      <c r="AL261" s="99">
        <v>0</v>
      </c>
      <c r="AM261" s="99">
        <v>0</v>
      </c>
      <c r="AN261" s="99">
        <v>0</v>
      </c>
      <c r="AO261" s="99">
        <v>0</v>
      </c>
      <c r="AP261" s="99">
        <v>0</v>
      </c>
      <c r="AQ261" s="99"/>
      <c r="AR261" s="99">
        <v>1763</v>
      </c>
      <c r="AS261" s="99">
        <v>1811</v>
      </c>
      <c r="AT261" s="99">
        <v>-704</v>
      </c>
      <c r="AU261" s="99" t="s">
        <v>1345</v>
      </c>
      <c r="AV261" s="99">
        <v>22.14</v>
      </c>
      <c r="AW261" s="99" t="s">
        <v>530</v>
      </c>
      <c r="AX261" s="99" t="s">
        <v>1041</v>
      </c>
    </row>
    <row r="262" spans="1:50" ht="18" customHeight="1" x14ac:dyDescent="0.25">
      <c r="A262" s="349" t="s">
        <v>494</v>
      </c>
      <c r="B262" s="99" t="s">
        <v>495</v>
      </c>
      <c r="C262" s="99" t="s">
        <v>30</v>
      </c>
      <c r="D262" s="99" t="s">
        <v>30</v>
      </c>
      <c r="E262" s="350">
        <v>41456</v>
      </c>
      <c r="F262" s="99" t="s">
        <v>37</v>
      </c>
      <c r="G262" s="590" t="s">
        <v>52</v>
      </c>
      <c r="H262" s="99">
        <v>0</v>
      </c>
      <c r="I262" s="351">
        <v>0.375</v>
      </c>
      <c r="J262" s="351">
        <v>0.70833333333333337</v>
      </c>
      <c r="K262" s="99" t="s">
        <v>1429</v>
      </c>
      <c r="L262" s="99" t="s">
        <v>1435</v>
      </c>
      <c r="M262" s="352">
        <v>43347</v>
      </c>
      <c r="N262" s="99" t="s">
        <v>1696</v>
      </c>
      <c r="O262" s="99" t="s">
        <v>1432</v>
      </c>
      <c r="P262" s="99" t="s">
        <v>37</v>
      </c>
      <c r="Q262" s="99" t="s">
        <v>1429</v>
      </c>
      <c r="R262" s="99" t="s">
        <v>1734</v>
      </c>
      <c r="S262" s="99" t="s">
        <v>1444</v>
      </c>
      <c r="T262" s="99"/>
      <c r="U262" s="99"/>
      <c r="V262" s="99" t="s">
        <v>46</v>
      </c>
      <c r="W262" s="99" t="s">
        <v>32</v>
      </c>
      <c r="X262" s="99" t="s">
        <v>37</v>
      </c>
      <c r="Y262" s="99">
        <v>2400</v>
      </c>
      <c r="Z262" s="99">
        <v>1</v>
      </c>
      <c r="AA262" s="99">
        <v>580</v>
      </c>
      <c r="AB262" s="99">
        <v>0</v>
      </c>
      <c r="AC262" s="99">
        <v>1480</v>
      </c>
      <c r="AD262" s="99">
        <v>0</v>
      </c>
      <c r="AE262" s="99">
        <v>0</v>
      </c>
      <c r="AF262" s="99">
        <v>0</v>
      </c>
      <c r="AG262" s="99">
        <v>2003</v>
      </c>
      <c r="AH262" s="99">
        <v>10</v>
      </c>
      <c r="AI262" s="99">
        <v>24</v>
      </c>
      <c r="AJ262" s="99">
        <v>0</v>
      </c>
      <c r="AK262" s="99">
        <v>0</v>
      </c>
      <c r="AL262" s="99">
        <v>0</v>
      </c>
      <c r="AM262" s="99">
        <v>0</v>
      </c>
      <c r="AN262" s="99">
        <v>0</v>
      </c>
      <c r="AO262" s="99">
        <v>0</v>
      </c>
      <c r="AP262" s="99">
        <v>0</v>
      </c>
      <c r="AQ262" s="99" t="s">
        <v>47</v>
      </c>
      <c r="AR262" s="99">
        <v>1763</v>
      </c>
      <c r="AS262" s="99">
        <v>4063</v>
      </c>
      <c r="AT262" s="99">
        <v>-1663</v>
      </c>
      <c r="AU262" s="99" t="s">
        <v>1345</v>
      </c>
      <c r="AV262" s="99">
        <v>48</v>
      </c>
      <c r="AW262" s="99" t="s">
        <v>677</v>
      </c>
      <c r="AX262" s="99" t="s">
        <v>1855</v>
      </c>
    </row>
    <row r="263" spans="1:50" ht="18" customHeight="1" x14ac:dyDescent="0.25">
      <c r="A263" s="349" t="s">
        <v>1735</v>
      </c>
      <c r="B263" s="99" t="s">
        <v>1736</v>
      </c>
      <c r="C263" s="99" t="s">
        <v>30</v>
      </c>
      <c r="D263" s="99" t="s">
        <v>30</v>
      </c>
      <c r="E263" s="350">
        <v>41219</v>
      </c>
      <c r="F263" s="99" t="s">
        <v>37</v>
      </c>
      <c r="G263" s="590" t="s">
        <v>52</v>
      </c>
      <c r="H263" s="99">
        <v>240</v>
      </c>
      <c r="I263" s="351">
        <v>0.375</v>
      </c>
      <c r="J263" s="351">
        <v>0.70833333333333337</v>
      </c>
      <c r="K263" s="99" t="s">
        <v>1429</v>
      </c>
      <c r="L263" s="99" t="s">
        <v>1435</v>
      </c>
      <c r="M263" s="352">
        <v>43287</v>
      </c>
      <c r="N263" s="99" t="s">
        <v>1737</v>
      </c>
      <c r="O263" s="99" t="s">
        <v>1432</v>
      </c>
      <c r="P263" s="99" t="s">
        <v>37</v>
      </c>
      <c r="Q263" s="99" t="s">
        <v>1429</v>
      </c>
      <c r="R263" s="99" t="s">
        <v>1738</v>
      </c>
      <c r="S263" s="99" t="s">
        <v>1444</v>
      </c>
      <c r="T263" s="99"/>
      <c r="U263" s="99"/>
      <c r="V263" s="99" t="s">
        <v>46</v>
      </c>
      <c r="W263" s="99" t="s">
        <v>32</v>
      </c>
      <c r="X263" s="99" t="s">
        <v>37</v>
      </c>
      <c r="Y263" s="99">
        <v>3000</v>
      </c>
      <c r="Z263" s="99">
        <v>1</v>
      </c>
      <c r="AA263" s="99">
        <v>580</v>
      </c>
      <c r="AB263" s="99">
        <v>0</v>
      </c>
      <c r="AC263" s="99">
        <v>1480</v>
      </c>
      <c r="AD263" s="99">
        <v>0</v>
      </c>
      <c r="AE263" s="99">
        <v>0</v>
      </c>
      <c r="AF263" s="99">
        <v>0</v>
      </c>
      <c r="AG263" s="99">
        <v>2003</v>
      </c>
      <c r="AH263" s="99">
        <v>10</v>
      </c>
      <c r="AI263" s="99">
        <v>24</v>
      </c>
      <c r="AJ263" s="99">
        <v>0</v>
      </c>
      <c r="AK263" s="99">
        <v>0</v>
      </c>
      <c r="AL263" s="99">
        <v>0</v>
      </c>
      <c r="AM263" s="99">
        <v>0</v>
      </c>
      <c r="AN263" s="99">
        <v>0</v>
      </c>
      <c r="AO263" s="99">
        <v>0</v>
      </c>
      <c r="AP263" s="99">
        <v>0</v>
      </c>
      <c r="AQ263" s="99" t="s">
        <v>47</v>
      </c>
      <c r="AR263" s="99">
        <v>1763</v>
      </c>
      <c r="AS263" s="99">
        <v>4063</v>
      </c>
      <c r="AT263" s="99">
        <v>-1063</v>
      </c>
      <c r="AU263" s="99" t="s">
        <v>1345</v>
      </c>
      <c r="AV263" s="99">
        <v>60</v>
      </c>
      <c r="AW263" s="99" t="s">
        <v>530</v>
      </c>
      <c r="AX263" s="99" t="s">
        <v>1838</v>
      </c>
    </row>
    <row r="264" spans="1:50" ht="18" customHeight="1" x14ac:dyDescent="0.25">
      <c r="A264" s="349" t="s">
        <v>496</v>
      </c>
      <c r="B264" s="99" t="s">
        <v>497</v>
      </c>
      <c r="C264" s="99" t="s">
        <v>30</v>
      </c>
      <c r="D264" s="99" t="s">
        <v>30</v>
      </c>
      <c r="E264" s="350">
        <v>41640</v>
      </c>
      <c r="F264" s="99" t="s">
        <v>37</v>
      </c>
      <c r="G264" s="590" t="s">
        <v>44</v>
      </c>
      <c r="H264" s="99">
        <v>0</v>
      </c>
      <c r="I264" s="351">
        <v>0.375</v>
      </c>
      <c r="J264" s="351">
        <v>0.70833333333333337</v>
      </c>
      <c r="K264" s="99" t="s">
        <v>1429</v>
      </c>
      <c r="L264" s="99" t="s">
        <v>1435</v>
      </c>
      <c r="M264" s="352">
        <v>43283</v>
      </c>
      <c r="N264" s="99" t="s">
        <v>1446</v>
      </c>
      <c r="O264" s="99" t="s">
        <v>1432</v>
      </c>
      <c r="P264" s="99" t="s">
        <v>37</v>
      </c>
      <c r="Q264" s="99" t="s">
        <v>1429</v>
      </c>
      <c r="R264" s="99" t="s">
        <v>1739</v>
      </c>
      <c r="S264" s="99" t="s">
        <v>1453</v>
      </c>
      <c r="T264" s="99"/>
      <c r="U264" s="99"/>
      <c r="V264" s="99" t="s">
        <v>46</v>
      </c>
      <c r="W264" s="99" t="s">
        <v>32</v>
      </c>
      <c r="X264" s="99" t="s">
        <v>37</v>
      </c>
      <c r="Y264" s="99">
        <v>4500</v>
      </c>
      <c r="Z264" s="99">
        <v>0</v>
      </c>
      <c r="AA264" s="99">
        <v>580</v>
      </c>
      <c r="AB264" s="99">
        <v>0</v>
      </c>
      <c r="AC264" s="99">
        <v>1480</v>
      </c>
      <c r="AD264" s="99">
        <v>0</v>
      </c>
      <c r="AE264" s="99">
        <v>0</v>
      </c>
      <c r="AF264" s="99">
        <v>0</v>
      </c>
      <c r="AG264" s="99">
        <v>1883</v>
      </c>
      <c r="AH264" s="99">
        <v>5</v>
      </c>
      <c r="AI264" s="99">
        <v>24</v>
      </c>
      <c r="AJ264" s="99">
        <v>0</v>
      </c>
      <c r="AK264" s="99">
        <v>0</v>
      </c>
      <c r="AL264" s="99">
        <v>0</v>
      </c>
      <c r="AM264" s="99">
        <v>0</v>
      </c>
      <c r="AN264" s="99">
        <v>0</v>
      </c>
      <c r="AO264" s="99">
        <v>0</v>
      </c>
      <c r="AP264" s="99">
        <v>0</v>
      </c>
      <c r="AQ264" s="99" t="s">
        <v>47</v>
      </c>
      <c r="AR264" s="99">
        <v>1763</v>
      </c>
      <c r="AS264" s="99">
        <v>3363</v>
      </c>
      <c r="AT264" s="99">
        <v>1137</v>
      </c>
      <c r="AU264" s="99" t="s">
        <v>1345</v>
      </c>
      <c r="AV264" s="99">
        <v>90</v>
      </c>
      <c r="AW264" s="99" t="s">
        <v>527</v>
      </c>
      <c r="AX264" s="99" t="s">
        <v>1853</v>
      </c>
    </row>
    <row r="265" spans="1:50" ht="18" customHeight="1" x14ac:dyDescent="0.25">
      <c r="A265" s="349" t="s">
        <v>498</v>
      </c>
      <c r="B265" s="99" t="s">
        <v>499</v>
      </c>
      <c r="C265" s="99" t="s">
        <v>30</v>
      </c>
      <c r="D265" s="99" t="s">
        <v>30</v>
      </c>
      <c r="E265" s="350">
        <v>41067</v>
      </c>
      <c r="F265" s="99" t="s">
        <v>37</v>
      </c>
      <c r="G265" s="590" t="s">
        <v>272</v>
      </c>
      <c r="H265" s="99">
        <v>240</v>
      </c>
      <c r="I265" s="351">
        <v>0.375</v>
      </c>
      <c r="J265" s="351">
        <v>0.70833333333333337</v>
      </c>
      <c r="K265" s="99" t="s">
        <v>1429</v>
      </c>
      <c r="L265" s="99" t="s">
        <v>1435</v>
      </c>
      <c r="M265" s="99">
        <v>8</v>
      </c>
      <c r="N265" s="99" t="s">
        <v>1446</v>
      </c>
      <c r="O265" s="99" t="s">
        <v>1432</v>
      </c>
      <c r="P265" s="99" t="s">
        <v>37</v>
      </c>
      <c r="Q265" s="99" t="s">
        <v>1429</v>
      </c>
      <c r="R265" s="99" t="s">
        <v>1831</v>
      </c>
      <c r="S265" s="99" t="s">
        <v>1444</v>
      </c>
      <c r="T265" s="99"/>
      <c r="U265" s="99"/>
      <c r="V265" s="99" t="s">
        <v>46</v>
      </c>
      <c r="W265" s="99" t="s">
        <v>32</v>
      </c>
      <c r="X265" s="99" t="s">
        <v>37</v>
      </c>
      <c r="Y265" s="99">
        <v>2434</v>
      </c>
      <c r="Z265" s="99">
        <v>1</v>
      </c>
      <c r="AA265" s="99">
        <v>580</v>
      </c>
      <c r="AB265" s="99">
        <v>0</v>
      </c>
      <c r="AC265" s="99">
        <v>1480</v>
      </c>
      <c r="AD265" s="99">
        <v>0</v>
      </c>
      <c r="AE265" s="99">
        <v>0</v>
      </c>
      <c r="AF265" s="99">
        <v>0</v>
      </c>
      <c r="AG265" s="99">
        <v>2003</v>
      </c>
      <c r="AH265" s="99">
        <v>10</v>
      </c>
      <c r="AI265" s="99">
        <v>24</v>
      </c>
      <c r="AJ265" s="99">
        <v>0</v>
      </c>
      <c r="AK265" s="99">
        <v>0</v>
      </c>
      <c r="AL265" s="99">
        <v>0</v>
      </c>
      <c r="AM265" s="99">
        <v>0</v>
      </c>
      <c r="AN265" s="99">
        <v>0</v>
      </c>
      <c r="AO265" s="99">
        <v>0</v>
      </c>
      <c r="AP265" s="99">
        <v>0</v>
      </c>
      <c r="AQ265" s="99" t="s">
        <v>47</v>
      </c>
      <c r="AR265" s="99">
        <v>1763</v>
      </c>
      <c r="AS265" s="99">
        <v>4063</v>
      </c>
      <c r="AT265" s="99">
        <v>-1629</v>
      </c>
      <c r="AU265" s="99" t="s">
        <v>1345</v>
      </c>
      <c r="AV265" s="99">
        <v>48.68</v>
      </c>
      <c r="AW265" s="99" t="s">
        <v>530</v>
      </c>
      <c r="AX265" s="99" t="s">
        <v>1861</v>
      </c>
    </row>
    <row r="266" spans="1:50" ht="18" customHeight="1" x14ac:dyDescent="0.25">
      <c r="A266" s="349" t="s">
        <v>500</v>
      </c>
      <c r="B266" s="99" t="s">
        <v>501</v>
      </c>
      <c r="C266" s="99" t="s">
        <v>35</v>
      </c>
      <c r="D266" s="99" t="s">
        <v>35</v>
      </c>
      <c r="E266" s="350">
        <v>41609</v>
      </c>
      <c r="F266" s="99" t="s">
        <v>37</v>
      </c>
      <c r="G266" s="590" t="s">
        <v>40</v>
      </c>
      <c r="H266" s="99">
        <v>120</v>
      </c>
      <c r="I266" s="351">
        <v>0.375</v>
      </c>
      <c r="J266" s="351">
        <v>0.70833333333333337</v>
      </c>
      <c r="K266" s="99" t="s">
        <v>1429</v>
      </c>
      <c r="L266" s="99" t="s">
        <v>1435</v>
      </c>
      <c r="M266" s="99" t="s">
        <v>1640</v>
      </c>
      <c r="N266" s="99" t="s">
        <v>1740</v>
      </c>
      <c r="O266" s="99" t="s">
        <v>1432</v>
      </c>
      <c r="P266" s="99" t="s">
        <v>37</v>
      </c>
      <c r="Q266" s="99" t="s">
        <v>1429</v>
      </c>
      <c r="R266" s="99" t="s">
        <v>1741</v>
      </c>
      <c r="S266" s="99" t="s">
        <v>1444</v>
      </c>
      <c r="T266" s="99"/>
      <c r="U266" s="99"/>
      <c r="V266" s="99" t="s">
        <v>31</v>
      </c>
      <c r="W266" s="99" t="s">
        <v>32</v>
      </c>
      <c r="X266" s="99" t="s">
        <v>37</v>
      </c>
      <c r="Y266" s="99">
        <v>889</v>
      </c>
      <c r="Z266" s="99">
        <v>0</v>
      </c>
      <c r="AA266" s="99">
        <v>580</v>
      </c>
      <c r="AB266" s="99">
        <v>0</v>
      </c>
      <c r="AC266" s="99">
        <v>0</v>
      </c>
      <c r="AD266" s="99">
        <v>0</v>
      </c>
      <c r="AE266" s="99">
        <v>0</v>
      </c>
      <c r="AF266" s="99">
        <v>0</v>
      </c>
      <c r="AG266" s="99">
        <v>2243</v>
      </c>
      <c r="AH266" s="99">
        <v>20</v>
      </c>
      <c r="AI266" s="99">
        <v>24</v>
      </c>
      <c r="AJ266" s="99">
        <v>0</v>
      </c>
      <c r="AK266" s="99">
        <v>0</v>
      </c>
      <c r="AL266" s="99">
        <v>0</v>
      </c>
      <c r="AM266" s="99">
        <v>0</v>
      </c>
      <c r="AN266" s="99">
        <v>0</v>
      </c>
      <c r="AO266" s="99">
        <v>0</v>
      </c>
      <c r="AP266" s="99">
        <v>0</v>
      </c>
      <c r="AQ266" s="99"/>
      <c r="AR266" s="99">
        <v>1763</v>
      </c>
      <c r="AS266" s="99">
        <v>2243</v>
      </c>
      <c r="AT266" s="99">
        <v>-1354</v>
      </c>
      <c r="AU266" s="99" t="s">
        <v>1345</v>
      </c>
      <c r="AV266" s="99">
        <v>17.78</v>
      </c>
      <c r="AW266" s="99" t="s">
        <v>530</v>
      </c>
      <c r="AX266" s="99" t="s">
        <v>1044</v>
      </c>
    </row>
    <row r="267" spans="1:50" ht="18" customHeight="1" x14ac:dyDescent="0.25">
      <c r="A267" s="349" t="s">
        <v>1742</v>
      </c>
      <c r="B267" s="99" t="s">
        <v>1743</v>
      </c>
      <c r="C267" s="99" t="s">
        <v>30</v>
      </c>
      <c r="D267" s="99" t="s">
        <v>30</v>
      </c>
      <c r="E267" s="350">
        <v>41091</v>
      </c>
      <c r="F267" s="99" t="s">
        <v>37</v>
      </c>
      <c r="G267" s="590" t="s">
        <v>272</v>
      </c>
      <c r="H267" s="99">
        <v>240</v>
      </c>
      <c r="I267" s="351">
        <v>0.375</v>
      </c>
      <c r="J267" s="351">
        <v>0.70833333333333337</v>
      </c>
      <c r="K267" s="99" t="s">
        <v>1429</v>
      </c>
      <c r="L267" s="99" t="s">
        <v>1435</v>
      </c>
      <c r="M267" s="352">
        <v>43349</v>
      </c>
      <c r="N267" s="99" t="s">
        <v>1446</v>
      </c>
      <c r="O267" s="99" t="s">
        <v>1432</v>
      </c>
      <c r="P267" s="99" t="s">
        <v>37</v>
      </c>
      <c r="Q267" s="99" t="s">
        <v>1429</v>
      </c>
      <c r="R267" s="99" t="s">
        <v>1744</v>
      </c>
      <c r="S267" s="99" t="s">
        <v>1444</v>
      </c>
      <c r="T267" s="99"/>
      <c r="U267" s="99"/>
      <c r="V267" s="99" t="s">
        <v>46</v>
      </c>
      <c r="W267" s="99" t="s">
        <v>32</v>
      </c>
      <c r="X267" s="99" t="s">
        <v>37</v>
      </c>
      <c r="Y267" s="99">
        <v>4955</v>
      </c>
      <c r="Z267" s="99">
        <v>1</v>
      </c>
      <c r="AA267" s="99">
        <v>580</v>
      </c>
      <c r="AB267" s="99">
        <v>0</v>
      </c>
      <c r="AC267" s="99">
        <v>1480</v>
      </c>
      <c r="AD267" s="99">
        <v>0</v>
      </c>
      <c r="AE267" s="99">
        <v>0</v>
      </c>
      <c r="AF267" s="99">
        <v>0</v>
      </c>
      <c r="AG267" s="99">
        <v>2000</v>
      </c>
      <c r="AH267" s="99">
        <v>10</v>
      </c>
      <c r="AI267" s="99">
        <v>24</v>
      </c>
      <c r="AJ267" s="99">
        <v>0</v>
      </c>
      <c r="AK267" s="99">
        <v>0</v>
      </c>
      <c r="AL267" s="99">
        <v>0</v>
      </c>
      <c r="AM267" s="99">
        <v>0</v>
      </c>
      <c r="AN267" s="99">
        <v>0</v>
      </c>
      <c r="AO267" s="99">
        <v>0</v>
      </c>
      <c r="AP267" s="99">
        <v>0</v>
      </c>
      <c r="AQ267" s="99" t="s">
        <v>47</v>
      </c>
      <c r="AR267" s="99">
        <v>1760</v>
      </c>
      <c r="AS267" s="99">
        <v>4060</v>
      </c>
      <c r="AT267" s="99">
        <v>895</v>
      </c>
      <c r="AU267" s="99" t="s">
        <v>1345</v>
      </c>
      <c r="AV267" s="99">
        <v>99.1</v>
      </c>
      <c r="AW267" s="99" t="s">
        <v>1745</v>
      </c>
      <c r="AX267" s="99" t="s">
        <v>1838</v>
      </c>
    </row>
    <row r="268" spans="1:50" ht="18" customHeight="1" x14ac:dyDescent="0.25">
      <c r="A268" s="349" t="s">
        <v>656</v>
      </c>
      <c r="B268" s="99" t="s">
        <v>657</v>
      </c>
      <c r="C268" s="99" t="s">
        <v>30</v>
      </c>
      <c r="D268" s="99" t="s">
        <v>30</v>
      </c>
      <c r="E268" s="350">
        <v>42491</v>
      </c>
      <c r="F268" s="99" t="s">
        <v>37</v>
      </c>
      <c r="G268" s="590" t="s">
        <v>544</v>
      </c>
      <c r="H268" s="99">
        <v>0</v>
      </c>
      <c r="I268" s="351">
        <v>0.375</v>
      </c>
      <c r="J268" s="351">
        <v>0.70833333333333337</v>
      </c>
      <c r="K268" s="99" t="s">
        <v>1429</v>
      </c>
      <c r="L268" s="99">
        <v>0</v>
      </c>
      <c r="M268" s="99">
        <v>111</v>
      </c>
      <c r="N268" s="99" t="s">
        <v>1446</v>
      </c>
      <c r="O268" s="99" t="s">
        <v>1432</v>
      </c>
      <c r="P268" s="99" t="s">
        <v>1429</v>
      </c>
      <c r="Q268" s="99" t="s">
        <v>1429</v>
      </c>
      <c r="R268" s="99" t="s">
        <v>1746</v>
      </c>
      <c r="S268" s="99" t="s">
        <v>1444</v>
      </c>
      <c r="T268" s="99"/>
      <c r="U268" s="99"/>
      <c r="V268" s="99" t="s">
        <v>46</v>
      </c>
      <c r="W268" s="99" t="s">
        <v>32</v>
      </c>
      <c r="X268" s="99" t="s">
        <v>37</v>
      </c>
      <c r="Y268" s="99">
        <v>6500</v>
      </c>
      <c r="Z268" s="99">
        <v>0</v>
      </c>
      <c r="AA268" s="99">
        <v>580</v>
      </c>
      <c r="AB268" s="99">
        <v>0</v>
      </c>
      <c r="AC268" s="99">
        <v>1480</v>
      </c>
      <c r="AD268" s="99">
        <v>0</v>
      </c>
      <c r="AE268" s="99">
        <v>0</v>
      </c>
      <c r="AF268" s="99">
        <v>0</v>
      </c>
      <c r="AG268" s="99">
        <v>1440</v>
      </c>
      <c r="AH268" s="99">
        <v>60</v>
      </c>
      <c r="AI268" s="99">
        <v>24</v>
      </c>
      <c r="AJ268" s="99">
        <v>0</v>
      </c>
      <c r="AK268" s="99">
        <v>0</v>
      </c>
      <c r="AL268" s="99">
        <v>0</v>
      </c>
      <c r="AM268" s="99">
        <v>0</v>
      </c>
      <c r="AN268" s="99">
        <v>0</v>
      </c>
      <c r="AO268" s="99">
        <v>0</v>
      </c>
      <c r="AP268" s="99">
        <v>0</v>
      </c>
      <c r="AQ268" s="99" t="s">
        <v>576</v>
      </c>
      <c r="AR268" s="99">
        <v>0</v>
      </c>
      <c r="AS268" s="99">
        <v>2920</v>
      </c>
      <c r="AT268" s="99">
        <v>3580</v>
      </c>
      <c r="AU268" s="99" t="s">
        <v>1345</v>
      </c>
      <c r="AV268" s="99">
        <v>130</v>
      </c>
      <c r="AW268" s="99" t="s">
        <v>527</v>
      </c>
      <c r="AX268" s="99" t="s">
        <v>1424</v>
      </c>
    </row>
    <row r="269" spans="1:50" ht="18" customHeight="1" x14ac:dyDescent="0.25">
      <c r="A269" s="349" t="s">
        <v>502</v>
      </c>
      <c r="B269" s="99" t="s">
        <v>503</v>
      </c>
      <c r="C269" s="99" t="s">
        <v>29</v>
      </c>
      <c r="D269" s="99" t="s">
        <v>56</v>
      </c>
      <c r="E269" s="350">
        <v>40911</v>
      </c>
      <c r="F269" s="99" t="s">
        <v>37</v>
      </c>
      <c r="G269" s="590" t="s">
        <v>29</v>
      </c>
      <c r="H269" s="99">
        <v>120</v>
      </c>
      <c r="I269" s="351">
        <v>0.375</v>
      </c>
      <c r="J269" s="351">
        <v>0.70833333333333337</v>
      </c>
      <c r="K269" s="99" t="s">
        <v>1429</v>
      </c>
      <c r="L269" s="99" t="s">
        <v>1435</v>
      </c>
      <c r="M269" s="352">
        <v>43193</v>
      </c>
      <c r="N269" s="99" t="s">
        <v>1747</v>
      </c>
      <c r="O269" s="99" t="s">
        <v>1432</v>
      </c>
      <c r="P269" s="99" t="s">
        <v>37</v>
      </c>
      <c r="Q269" s="99" t="s">
        <v>1429</v>
      </c>
      <c r="R269" s="99" t="s">
        <v>1748</v>
      </c>
      <c r="S269" s="99" t="s">
        <v>1444</v>
      </c>
      <c r="T269" s="99"/>
      <c r="U269" s="99"/>
      <c r="V269" s="99" t="s">
        <v>31</v>
      </c>
      <c r="W269" s="99" t="s">
        <v>32</v>
      </c>
      <c r="X269" s="99" t="s">
        <v>37</v>
      </c>
      <c r="Y269" s="99">
        <v>629</v>
      </c>
      <c r="Z269" s="99">
        <v>0</v>
      </c>
      <c r="AA269" s="99">
        <v>580</v>
      </c>
      <c r="AB269" s="99">
        <v>0</v>
      </c>
      <c r="AC269" s="99">
        <v>0</v>
      </c>
      <c r="AD269" s="99">
        <v>0</v>
      </c>
      <c r="AE269" s="99">
        <v>0</v>
      </c>
      <c r="AF269" s="99">
        <v>0</v>
      </c>
      <c r="AG269" s="99">
        <v>1979</v>
      </c>
      <c r="AH269" s="99">
        <v>9</v>
      </c>
      <c r="AI269" s="99">
        <v>24</v>
      </c>
      <c r="AJ269" s="99">
        <v>0</v>
      </c>
      <c r="AK269" s="99">
        <v>0</v>
      </c>
      <c r="AL269" s="99">
        <v>0</v>
      </c>
      <c r="AM269" s="99">
        <v>0</v>
      </c>
      <c r="AN269" s="99">
        <v>0</v>
      </c>
      <c r="AO269" s="99">
        <v>0</v>
      </c>
      <c r="AP269" s="99">
        <v>0</v>
      </c>
      <c r="AQ269" s="99"/>
      <c r="AR269" s="99">
        <v>1763</v>
      </c>
      <c r="AS269" s="99">
        <v>1979</v>
      </c>
      <c r="AT269" s="99">
        <v>-1350</v>
      </c>
      <c r="AU269" s="99" t="s">
        <v>1345</v>
      </c>
      <c r="AV269" s="99">
        <v>12.58</v>
      </c>
      <c r="AW269" s="99" t="s">
        <v>528</v>
      </c>
      <c r="AX269" s="99" t="s">
        <v>1044</v>
      </c>
    </row>
    <row r="270" spans="1:50" ht="18" customHeight="1" x14ac:dyDescent="0.25">
      <c r="A270" s="349" t="s">
        <v>504</v>
      </c>
      <c r="B270" s="99" t="s">
        <v>505</v>
      </c>
      <c r="C270" s="99" t="s">
        <v>35</v>
      </c>
      <c r="D270" s="99" t="s">
        <v>35</v>
      </c>
      <c r="E270" s="350">
        <v>41072</v>
      </c>
      <c r="F270" s="99" t="s">
        <v>1429</v>
      </c>
      <c r="G270" s="590" t="s">
        <v>272</v>
      </c>
      <c r="H270" s="99">
        <v>120</v>
      </c>
      <c r="I270" s="351">
        <v>0.375</v>
      </c>
      <c r="J270" s="351">
        <v>0.70833333333333337</v>
      </c>
      <c r="K270" s="99" t="s">
        <v>1429</v>
      </c>
      <c r="L270" s="99" t="s">
        <v>1435</v>
      </c>
      <c r="M270" s="352">
        <v>43160</v>
      </c>
      <c r="N270" s="99" t="s">
        <v>1506</v>
      </c>
      <c r="O270" s="99" t="s">
        <v>1432</v>
      </c>
      <c r="P270" s="99" t="s">
        <v>37</v>
      </c>
      <c r="Q270" s="99" t="s">
        <v>1429</v>
      </c>
      <c r="R270" s="99" t="s">
        <v>1749</v>
      </c>
      <c r="S270" s="99" t="s">
        <v>1444</v>
      </c>
      <c r="T270" s="99"/>
      <c r="U270" s="99"/>
      <c r="V270" s="99" t="s">
        <v>46</v>
      </c>
      <c r="W270" s="99" t="s">
        <v>32</v>
      </c>
      <c r="X270" s="99" t="s">
        <v>37</v>
      </c>
      <c r="Y270" s="99">
        <v>6000</v>
      </c>
      <c r="Z270" s="99">
        <v>1</v>
      </c>
      <c r="AA270" s="99">
        <v>580</v>
      </c>
      <c r="AB270" s="99">
        <v>0</v>
      </c>
      <c r="AC270" s="99">
        <v>1480</v>
      </c>
      <c r="AD270" s="99">
        <v>0</v>
      </c>
      <c r="AE270" s="99">
        <v>0</v>
      </c>
      <c r="AF270" s="99">
        <v>0</v>
      </c>
      <c r="AG270" s="99">
        <v>2243</v>
      </c>
      <c r="AH270" s="99">
        <v>20</v>
      </c>
      <c r="AI270" s="99">
        <v>24</v>
      </c>
      <c r="AJ270" s="99">
        <v>0</v>
      </c>
      <c r="AK270" s="99">
        <v>0</v>
      </c>
      <c r="AL270" s="99">
        <v>0</v>
      </c>
      <c r="AM270" s="99">
        <v>0</v>
      </c>
      <c r="AN270" s="99">
        <v>0</v>
      </c>
      <c r="AO270" s="99">
        <v>0</v>
      </c>
      <c r="AP270" s="99">
        <v>0</v>
      </c>
      <c r="AQ270" s="99" t="s">
        <v>47</v>
      </c>
      <c r="AR270" s="99">
        <v>1763</v>
      </c>
      <c r="AS270" s="99">
        <v>4303</v>
      </c>
      <c r="AT270" s="99">
        <v>1697</v>
      </c>
      <c r="AU270" s="99" t="s">
        <v>1345</v>
      </c>
      <c r="AV270" s="99">
        <v>120</v>
      </c>
      <c r="AW270" s="99" t="s">
        <v>527</v>
      </c>
      <c r="AX270" s="99" t="s">
        <v>1854</v>
      </c>
    </row>
    <row r="271" spans="1:50" ht="18" customHeight="1" x14ac:dyDescent="0.25">
      <c r="A271" s="349" t="s">
        <v>506</v>
      </c>
      <c r="B271" s="99" t="s">
        <v>507</v>
      </c>
      <c r="C271" s="99" t="s">
        <v>35</v>
      </c>
      <c r="D271" s="99" t="s">
        <v>35</v>
      </c>
      <c r="E271" s="350">
        <v>41579</v>
      </c>
      <c r="F271" s="99" t="s">
        <v>1429</v>
      </c>
      <c r="G271" s="590" t="s">
        <v>44</v>
      </c>
      <c r="H271" s="99">
        <v>240</v>
      </c>
      <c r="I271" s="351">
        <v>0.375</v>
      </c>
      <c r="J271" s="351">
        <v>0.70833333333333337</v>
      </c>
      <c r="K271" s="99" t="s">
        <v>37</v>
      </c>
      <c r="L271" s="99" t="s">
        <v>1435</v>
      </c>
      <c r="M271" s="99">
        <v>0</v>
      </c>
      <c r="N271" s="99" t="s">
        <v>1584</v>
      </c>
      <c r="O271" s="99" t="s">
        <v>1432</v>
      </c>
      <c r="P271" s="99" t="s">
        <v>37</v>
      </c>
      <c r="Q271" s="99" t="s">
        <v>1429</v>
      </c>
      <c r="R271" s="99" t="s">
        <v>1452</v>
      </c>
      <c r="S271" s="99" t="s">
        <v>1453</v>
      </c>
      <c r="T271" s="99"/>
      <c r="U271" s="99"/>
      <c r="V271" s="99" t="s">
        <v>46</v>
      </c>
      <c r="W271" s="99" t="s">
        <v>32</v>
      </c>
      <c r="X271" s="99" t="s">
        <v>37</v>
      </c>
      <c r="Y271" s="99">
        <v>200</v>
      </c>
      <c r="Z271" s="99"/>
      <c r="AA271" s="99">
        <v>580</v>
      </c>
      <c r="AB271" s="99">
        <v>0</v>
      </c>
      <c r="AC271" s="99">
        <v>800</v>
      </c>
      <c r="AD271" s="99">
        <v>0</v>
      </c>
      <c r="AE271" s="99">
        <v>0</v>
      </c>
      <c r="AF271" s="99">
        <v>0</v>
      </c>
      <c r="AG271" s="99">
        <v>1040</v>
      </c>
      <c r="AH271" s="99">
        <v>10</v>
      </c>
      <c r="AI271" s="99">
        <v>24</v>
      </c>
      <c r="AJ271" s="99">
        <v>0</v>
      </c>
      <c r="AK271" s="99">
        <v>0</v>
      </c>
      <c r="AL271" s="99">
        <v>0</v>
      </c>
      <c r="AM271" s="99">
        <v>0</v>
      </c>
      <c r="AN271" s="99">
        <v>0</v>
      </c>
      <c r="AO271" s="99">
        <v>0</v>
      </c>
      <c r="AP271" s="99">
        <v>0</v>
      </c>
      <c r="AQ271" s="99" t="s">
        <v>47</v>
      </c>
      <c r="AR271" s="99">
        <v>800</v>
      </c>
      <c r="AS271" s="99">
        <v>1840</v>
      </c>
      <c r="AT271" s="99">
        <v>-1640</v>
      </c>
      <c r="AU271" s="99" t="s">
        <v>1345</v>
      </c>
      <c r="AV271" s="99">
        <v>4</v>
      </c>
      <c r="AW271" s="99" t="s">
        <v>673</v>
      </c>
      <c r="AX271" s="99" t="s">
        <v>1057</v>
      </c>
    </row>
    <row r="272" spans="1:50" ht="18" customHeight="1" x14ac:dyDescent="0.25">
      <c r="A272" s="349" t="s">
        <v>508</v>
      </c>
      <c r="B272" s="99" t="s">
        <v>509</v>
      </c>
      <c r="C272" s="99" t="s">
        <v>56</v>
      </c>
      <c r="D272" s="99" t="s">
        <v>56</v>
      </c>
      <c r="E272" s="350">
        <v>41518</v>
      </c>
      <c r="F272" s="99" t="s">
        <v>37</v>
      </c>
      <c r="G272" s="590" t="s">
        <v>44</v>
      </c>
      <c r="H272" s="99">
        <v>240</v>
      </c>
      <c r="I272" s="351">
        <v>0.375</v>
      </c>
      <c r="J272" s="351">
        <v>0.70833333333333337</v>
      </c>
      <c r="K272" s="99" t="s">
        <v>37</v>
      </c>
      <c r="L272" s="99" t="s">
        <v>1435</v>
      </c>
      <c r="M272" s="352">
        <v>43315</v>
      </c>
      <c r="N272" s="99" t="s">
        <v>1696</v>
      </c>
      <c r="O272" s="99" t="s">
        <v>1432</v>
      </c>
      <c r="P272" s="99" t="s">
        <v>37</v>
      </c>
      <c r="Q272" s="99" t="s">
        <v>1429</v>
      </c>
      <c r="R272" s="99" t="s">
        <v>1750</v>
      </c>
      <c r="S272" s="99" t="s">
        <v>1444</v>
      </c>
      <c r="T272" s="99"/>
      <c r="U272" s="99"/>
      <c r="V272" s="99" t="s">
        <v>46</v>
      </c>
      <c r="W272" s="99" t="s">
        <v>32</v>
      </c>
      <c r="X272" s="99" t="s">
        <v>37</v>
      </c>
      <c r="Y272" s="99">
        <v>6000</v>
      </c>
      <c r="Z272" s="99">
        <v>1</v>
      </c>
      <c r="AA272" s="99">
        <v>580</v>
      </c>
      <c r="AB272" s="99">
        <v>0</v>
      </c>
      <c r="AC272" s="99">
        <v>1480</v>
      </c>
      <c r="AD272" s="99">
        <v>0</v>
      </c>
      <c r="AE272" s="99">
        <v>0</v>
      </c>
      <c r="AF272" s="99">
        <v>0</v>
      </c>
      <c r="AG272" s="99">
        <v>2003</v>
      </c>
      <c r="AH272" s="99">
        <v>10</v>
      </c>
      <c r="AI272" s="99">
        <v>24</v>
      </c>
      <c r="AJ272" s="99">
        <v>0</v>
      </c>
      <c r="AK272" s="99">
        <v>0</v>
      </c>
      <c r="AL272" s="99">
        <v>0</v>
      </c>
      <c r="AM272" s="99">
        <v>0</v>
      </c>
      <c r="AN272" s="99">
        <v>0</v>
      </c>
      <c r="AO272" s="99">
        <v>0</v>
      </c>
      <c r="AP272" s="99">
        <v>0</v>
      </c>
      <c r="AQ272" s="99" t="s">
        <v>47</v>
      </c>
      <c r="AR272" s="99">
        <v>1763</v>
      </c>
      <c r="AS272" s="99">
        <v>4063</v>
      </c>
      <c r="AT272" s="99">
        <v>1937</v>
      </c>
      <c r="AU272" s="99" t="s">
        <v>1345</v>
      </c>
      <c r="AV272" s="99">
        <v>120</v>
      </c>
      <c r="AW272" s="99" t="s">
        <v>527</v>
      </c>
      <c r="AX272" s="99" t="s">
        <v>1858</v>
      </c>
    </row>
  </sheetData>
  <hyperlinks>
    <hyperlink ref="AA2" r:id="rId1" tooltip="Změnit sazbu" display="http://vykazy.brno.qcm.cz/index.php?m=config"/>
    <hyperlink ref="AI2" r:id="rId2" tooltip="Změnit sazbu" display="http://vykazy.brno.qcm.cz/index.php?m=config"/>
    <hyperlink ref="AK2" r:id="rId3" tooltip="Změnit sazbu" display="http://vykazy.brno.qcm.cz/index.php?m=config"/>
    <hyperlink ref="AM2" r:id="rId4" tooltip="Změnit sazbu" display="http://vykazy.brno.qcm.cz/index.php?m=config"/>
    <hyperlink ref="AU2" r:id="rId5" tooltip="Změnit" display="http://vykazy.brno.qcm.cz/index.php?m=config"/>
    <hyperlink ref="A3" r:id="rId6" display="http://vykazy.brno.qcm.cz/index.php?m=project&amp;a=status&amp;id=1374"/>
    <hyperlink ref="A4" r:id="rId7" display="http://vykazy.brno.qcm.cz/index.php?m=project&amp;a=status&amp;id=1305"/>
    <hyperlink ref="A5" r:id="rId8" display="http://vykazy.brno.qcm.cz/index.php?m=project&amp;a=status&amp;id=4586"/>
    <hyperlink ref="A6" r:id="rId9" display="http://vykazy.brno.qcm.cz/index.php?m=project&amp;a=status&amp;id=3227"/>
    <hyperlink ref="A7" r:id="rId10" display="http://vykazy.brno.qcm.cz/index.php?m=project&amp;a=status&amp;id=3410"/>
    <hyperlink ref="A8" r:id="rId11" display="http://vykazy.brno.qcm.cz/index.php?m=project&amp;a=status&amp;id=1377"/>
    <hyperlink ref="A9" r:id="rId12" display="http://vykazy.brno.qcm.cz/index.php?m=project&amp;a=status&amp;id=3343"/>
    <hyperlink ref="A10" r:id="rId13" display="http://vykazy.brno.qcm.cz/index.php?m=project&amp;a=status&amp;id=2972"/>
    <hyperlink ref="A11" r:id="rId14" display="http://vykazy.brno.qcm.cz/index.php?m=project&amp;a=status&amp;id=2466"/>
    <hyperlink ref="A12" r:id="rId15" display="http://vykazy.brno.qcm.cz/index.php?m=project&amp;a=status&amp;id=4049"/>
    <hyperlink ref="A13" r:id="rId16" display="http://vykazy.brno.qcm.cz/index.php?m=project&amp;a=status&amp;id=3252"/>
    <hyperlink ref="A14" r:id="rId17" display="http://vykazy.brno.qcm.cz/index.php?m=project&amp;a=status&amp;id=3447"/>
    <hyperlink ref="A15" r:id="rId18" display="http://vykazy.brno.qcm.cz/index.php?m=project&amp;a=status&amp;id=2671"/>
    <hyperlink ref="A16" r:id="rId19" display="http://vykazy.brno.qcm.cz/index.php?m=project&amp;a=status&amp;id=1212"/>
    <hyperlink ref="A17" r:id="rId20" display="http://vykazy.brno.qcm.cz/index.php?m=project&amp;a=status&amp;id=3177"/>
    <hyperlink ref="A18" r:id="rId21" display="http://vykazy.brno.qcm.cz/index.php?m=project&amp;a=status&amp;id=3032"/>
    <hyperlink ref="A19" r:id="rId22" display="http://vykazy.brno.qcm.cz/index.php?m=project&amp;a=status&amp;id=3829"/>
    <hyperlink ref="A20" r:id="rId23" display="http://vykazy.brno.qcm.cz/index.php?m=project&amp;a=status&amp;id=1276"/>
    <hyperlink ref="A21" r:id="rId24" display="http://vykazy.brno.qcm.cz/index.php?m=project&amp;a=status&amp;id=4347"/>
    <hyperlink ref="A22" r:id="rId25" display="http://vykazy.brno.qcm.cz/index.php?m=project&amp;a=status&amp;id=2651"/>
    <hyperlink ref="A23" r:id="rId26" display="http://vykazy.brno.qcm.cz/index.php?m=project&amp;a=status&amp;id=4386"/>
    <hyperlink ref="A24" r:id="rId27" display="http://vykazy.brno.qcm.cz/index.php?m=project&amp;a=status&amp;id=2904"/>
    <hyperlink ref="A25" r:id="rId28" display="http://vykazy.brno.qcm.cz/index.php?m=project&amp;a=status&amp;id=4402"/>
    <hyperlink ref="A26" r:id="rId29" display="http://vykazy.brno.qcm.cz/index.php?m=project&amp;a=status&amp;id=4016"/>
    <hyperlink ref="A27" r:id="rId30" display="http://vykazy.brno.qcm.cz/index.php?m=project&amp;a=status&amp;id=2682"/>
    <hyperlink ref="A28" r:id="rId31" display="http://vykazy.brno.qcm.cz/index.php?m=project&amp;a=status&amp;id=4370"/>
    <hyperlink ref="A29" r:id="rId32" display="http://vykazy.brno.qcm.cz/index.php?m=project&amp;a=status&amp;id=2296"/>
    <hyperlink ref="A30" r:id="rId33" display="http://vykazy.brno.qcm.cz/index.php?m=project&amp;a=status&amp;id=2901"/>
    <hyperlink ref="A31" r:id="rId34" display="http://vykazy.brno.qcm.cz/index.php?m=project&amp;a=status&amp;id=2581"/>
    <hyperlink ref="A32" r:id="rId35" display="http://vykazy.brno.qcm.cz/index.php?m=project&amp;a=status&amp;id=2806"/>
    <hyperlink ref="A33" r:id="rId36" display="http://vykazy.brno.qcm.cz/index.php?m=project&amp;a=status&amp;id=2811"/>
    <hyperlink ref="A34" r:id="rId37" display="http://vykazy.brno.qcm.cz/index.php?m=project&amp;a=status&amp;id=1997"/>
    <hyperlink ref="A35" r:id="rId38" display="http://vykazy.brno.qcm.cz/index.php?m=project&amp;a=status&amp;id=2488"/>
    <hyperlink ref="A36" r:id="rId39" display="http://vykazy.brno.qcm.cz/index.php?m=project&amp;a=status&amp;id=959"/>
    <hyperlink ref="A37" r:id="rId40" display="http://vykazy.brno.qcm.cz/index.php?m=project&amp;a=status&amp;id=2732"/>
    <hyperlink ref="A38" r:id="rId41" display="http://vykazy.brno.qcm.cz/index.php?m=project&amp;a=status&amp;id=4261"/>
    <hyperlink ref="A39" r:id="rId42" display="http://vykazy.brno.qcm.cz/index.php?m=project&amp;a=status&amp;id=509"/>
    <hyperlink ref="A40" r:id="rId43" display="http://vykazy.brno.qcm.cz/index.php?m=project&amp;a=status&amp;id=1338"/>
    <hyperlink ref="A41" r:id="rId44" display="http://vykazy.brno.qcm.cz/index.php?m=project&amp;a=status&amp;id=2413"/>
    <hyperlink ref="A42" r:id="rId45" display="http://vykazy.brno.qcm.cz/index.php?m=project&amp;a=status&amp;id=1600"/>
    <hyperlink ref="A43" r:id="rId46" display="http://vykazy.brno.qcm.cz/index.php?m=project&amp;a=status&amp;id=4266"/>
    <hyperlink ref="A44" r:id="rId47" display="http://vykazy.brno.qcm.cz/index.php?m=project&amp;a=status&amp;id=2189"/>
    <hyperlink ref="A45" r:id="rId48" display="http://vykazy.brno.qcm.cz/index.php?m=project&amp;a=status&amp;id=1631"/>
    <hyperlink ref="A46" r:id="rId49" display="http://vykazy.brno.qcm.cz/index.php?m=project&amp;a=status&amp;id=2371"/>
    <hyperlink ref="A47" r:id="rId50" display="http://vykazy.brno.qcm.cz/index.php?m=project&amp;a=status&amp;id=2617"/>
    <hyperlink ref="A48" r:id="rId51" display="http://vykazy.brno.qcm.cz/index.php?m=project&amp;a=status&amp;id=447"/>
    <hyperlink ref="A49" r:id="rId52" display="http://vykazy.brno.qcm.cz/index.php?m=project&amp;a=status&amp;id=3639"/>
    <hyperlink ref="A50" r:id="rId53" display="http://vykazy.brno.qcm.cz/index.php?m=project&amp;a=status&amp;id=3578"/>
    <hyperlink ref="A51" r:id="rId54" display="http://vykazy.brno.qcm.cz/index.php?m=project&amp;a=status&amp;id=4400"/>
    <hyperlink ref="A52" r:id="rId55" display="http://vykazy.brno.qcm.cz/index.php?m=project&amp;a=status&amp;id=3223"/>
    <hyperlink ref="A53" r:id="rId56" display="http://vykazy.brno.qcm.cz/index.php?m=project&amp;a=status&amp;id=3528"/>
    <hyperlink ref="A54" r:id="rId57" display="http://vykazy.brno.qcm.cz/index.php?m=project&amp;a=status&amp;id=3579"/>
    <hyperlink ref="A55" r:id="rId58" display="http://vykazy.brno.qcm.cz/index.php?m=project&amp;a=status&amp;id=3325"/>
    <hyperlink ref="A56" r:id="rId59" display="http://vykazy.brno.qcm.cz/index.php?m=project&amp;a=status&amp;id=2177"/>
    <hyperlink ref="A57" r:id="rId60" display="http://vykazy.brno.qcm.cz/index.php?m=project&amp;a=status&amp;id=2565"/>
    <hyperlink ref="A58" r:id="rId61" display="http://vykazy.brno.qcm.cz/index.php?m=project&amp;a=status&amp;id=2433"/>
    <hyperlink ref="A59" r:id="rId62" display="http://vykazy.brno.qcm.cz/index.php?m=project&amp;a=status&amp;id=3326"/>
    <hyperlink ref="A60" r:id="rId63" display="http://vykazy.brno.qcm.cz/index.php?m=project&amp;a=status&amp;id=4043"/>
    <hyperlink ref="A61" r:id="rId64" display="http://vykazy.brno.qcm.cz/index.php?m=project&amp;a=status&amp;id=1166"/>
    <hyperlink ref="A62" r:id="rId65" display="http://vykazy.brno.qcm.cz/index.php?m=project&amp;a=status&amp;id=3425"/>
    <hyperlink ref="A63" r:id="rId66" display="http://vykazy.brno.qcm.cz/index.php?m=project&amp;a=status&amp;id=2941"/>
    <hyperlink ref="A64" r:id="rId67" display="http://vykazy.brno.qcm.cz/index.php?m=project&amp;a=status&amp;id=2000"/>
    <hyperlink ref="A65" r:id="rId68" display="http://vykazy.brno.qcm.cz/index.php?m=project&amp;a=status&amp;id=2736"/>
    <hyperlink ref="A66" r:id="rId69" display="http://vykazy.brno.qcm.cz/index.php?m=project&amp;a=status&amp;id=2973"/>
    <hyperlink ref="A67" r:id="rId70" display="http://vykazy.brno.qcm.cz/index.php?m=project&amp;a=status&amp;id=2394"/>
    <hyperlink ref="A68" r:id="rId71" display="http://vykazy.brno.qcm.cz/index.php?m=project&amp;a=status&amp;id=2208"/>
    <hyperlink ref="A69" r:id="rId72" display="http://vykazy.brno.qcm.cz/index.php?m=project&amp;a=status&amp;id=4349"/>
    <hyperlink ref="A70" r:id="rId73" display="http://vykazy.brno.qcm.cz/index.php?m=project&amp;a=status&amp;id=1139"/>
    <hyperlink ref="A71" r:id="rId74" display="http://vykazy.brno.qcm.cz/index.php?m=project&amp;a=status&amp;id=1998"/>
    <hyperlink ref="A72" r:id="rId75" display="http://vykazy.brno.qcm.cz/index.php?m=project&amp;a=status&amp;id=2741"/>
    <hyperlink ref="A73" r:id="rId76" display="http://vykazy.brno.qcm.cz/index.php?m=project&amp;a=status&amp;id=4979"/>
    <hyperlink ref="A74" r:id="rId77" display="http://vykazy.brno.qcm.cz/index.php?m=project&amp;a=status&amp;id=2555"/>
    <hyperlink ref="A75" r:id="rId78" display="http://vykazy.brno.qcm.cz/index.php?m=project&amp;a=status&amp;id=2556"/>
    <hyperlink ref="A76" r:id="rId79" display="http://vykazy.brno.qcm.cz/index.php?m=project&amp;a=status&amp;id=2641"/>
    <hyperlink ref="A77" r:id="rId80" display="http://vykazy.brno.qcm.cz/index.php?m=project&amp;a=status&amp;id=1854"/>
    <hyperlink ref="A78" r:id="rId81" display="http://vykazy.brno.qcm.cz/index.php?m=project&amp;a=status&amp;id=3297"/>
    <hyperlink ref="A79" r:id="rId82" display="http://vykazy.brno.qcm.cz/index.php?m=project&amp;a=status&amp;id=2700"/>
    <hyperlink ref="A80" r:id="rId83" display="http://vykazy.brno.qcm.cz/index.php?m=project&amp;a=status&amp;id=957"/>
    <hyperlink ref="A81" r:id="rId84" display="http://vykazy.brno.qcm.cz/index.php?m=project&amp;a=status&amp;id=2159"/>
    <hyperlink ref="A82" r:id="rId85" display="http://vykazy.brno.qcm.cz/index.php?m=project&amp;a=status&amp;id=1510"/>
    <hyperlink ref="A83" r:id="rId86" display="http://vykazy.brno.qcm.cz/index.php?m=project&amp;a=status&amp;id=3373"/>
    <hyperlink ref="A84" r:id="rId87" display="http://vykazy.brno.qcm.cz/index.php?m=project&amp;a=status&amp;id=3039"/>
    <hyperlink ref="A85" r:id="rId88" display="http://vykazy.brno.qcm.cz/index.php?m=project&amp;a=status&amp;id=3384"/>
    <hyperlink ref="A86" r:id="rId89" display="http://vykazy.brno.qcm.cz/index.php?m=project&amp;a=status&amp;id=4385"/>
    <hyperlink ref="A87" r:id="rId90" display="http://vykazy.brno.qcm.cz/index.php?m=project&amp;a=status&amp;id=1388"/>
    <hyperlink ref="A88" r:id="rId91" display="http://vykazy.brno.qcm.cz/index.php?m=project&amp;a=status&amp;id=2336"/>
    <hyperlink ref="A89" r:id="rId92" display="http://vykazy.brno.qcm.cz/index.php?m=project&amp;a=status&amp;id=4323"/>
    <hyperlink ref="A90" r:id="rId93" display="http://vykazy.brno.qcm.cz/index.php?m=project&amp;a=status&amp;id=2237"/>
    <hyperlink ref="A91" r:id="rId94" display="http://vykazy.brno.qcm.cz/index.php?m=project&amp;a=status&amp;id=2482"/>
    <hyperlink ref="A92" r:id="rId95" display="http://vykazy.brno.qcm.cz/index.php?m=project&amp;a=status&amp;id=2551"/>
    <hyperlink ref="A93" r:id="rId96" display="http://vykazy.brno.qcm.cz/index.php?m=project&amp;a=status&amp;id=3426"/>
    <hyperlink ref="A94" r:id="rId97" display="http://vykazy.brno.qcm.cz/index.php?m=project&amp;a=status&amp;id=3686"/>
    <hyperlink ref="A95" r:id="rId98" display="http://vykazy.brno.qcm.cz/index.php?m=project&amp;a=status&amp;id=4397"/>
    <hyperlink ref="A96" r:id="rId99" display="http://vykazy.brno.qcm.cz/index.php?m=project&amp;a=status&amp;id=4543"/>
    <hyperlink ref="A97" r:id="rId100" display="http://vykazy.brno.qcm.cz/index.php?m=project&amp;a=status&amp;id=4679"/>
    <hyperlink ref="A98" r:id="rId101" display="http://vykazy.brno.qcm.cz/index.php?m=project&amp;a=status&amp;id=3959"/>
    <hyperlink ref="A99" r:id="rId102" display="http://vykazy.brno.qcm.cz/index.php?m=project&amp;a=status&amp;id=4958"/>
    <hyperlink ref="A100" r:id="rId103" display="http://vykazy.brno.qcm.cz/index.php?m=project&amp;a=status&amp;id=4365"/>
    <hyperlink ref="A101" r:id="rId104" display="http://vykazy.brno.qcm.cz/index.php?m=project&amp;a=status&amp;id=5006"/>
    <hyperlink ref="A102" r:id="rId105" display="http://vykazy.brno.qcm.cz/index.php?m=project&amp;a=status&amp;id=4701"/>
    <hyperlink ref="A103" r:id="rId106" display="http://vykazy.brno.qcm.cz/index.php?m=project&amp;a=status&amp;id=2943"/>
    <hyperlink ref="A104" r:id="rId107" display="http://vykazy.brno.qcm.cz/index.php?m=project&amp;a=status&amp;id=4055"/>
    <hyperlink ref="A105" r:id="rId108" display="http://vykazy.brno.qcm.cz/index.php?m=project&amp;a=status&amp;id=3387"/>
    <hyperlink ref="A106" r:id="rId109" display="http://vykazy.brno.qcm.cz/index.php?m=project&amp;a=status&amp;id=2585"/>
    <hyperlink ref="A107" r:id="rId110" display="http://vykazy.brno.qcm.cz/index.php?m=project&amp;a=status&amp;id=3368"/>
    <hyperlink ref="A108" r:id="rId111" display="http://vykazy.brno.qcm.cz/index.php?m=project&amp;a=status&amp;id=3033"/>
    <hyperlink ref="A109" r:id="rId112" display="http://vykazy.brno.qcm.cz/index.php?m=project&amp;a=status&amp;id=3386"/>
    <hyperlink ref="A110" r:id="rId113" display="http://vykazy.brno.qcm.cz/index.php?m=project&amp;a=status&amp;id=4520"/>
    <hyperlink ref="A111" r:id="rId114" display="http://vykazy.brno.qcm.cz/index.php?m=project&amp;a=status&amp;id=4158"/>
    <hyperlink ref="A112" r:id="rId115" display="http://vykazy.brno.qcm.cz/index.php?m=project&amp;a=status&amp;id=780"/>
    <hyperlink ref="A113" r:id="rId116" display="http://vykazy.brno.qcm.cz/index.php?m=project&amp;a=status&amp;id=3808"/>
    <hyperlink ref="A114" r:id="rId117" display="http://vykazy.brno.qcm.cz/index.php?m=project&amp;a=status&amp;id=1845"/>
    <hyperlink ref="A115" r:id="rId118" display="http://vykazy.brno.qcm.cz/index.php?m=project&amp;a=status&amp;id=3383"/>
    <hyperlink ref="A116" r:id="rId119" display="http://vykazy.brno.qcm.cz/index.php?m=project&amp;a=status&amp;id=3901"/>
    <hyperlink ref="A117" r:id="rId120" display="http://vykazy.brno.qcm.cz/index.php?m=project&amp;a=status&amp;id=530"/>
    <hyperlink ref="A118" r:id="rId121" display="http://vykazy.brno.qcm.cz/index.php?m=project&amp;a=status&amp;id=2543"/>
    <hyperlink ref="A119" r:id="rId122" display="http://vykazy.brno.qcm.cz/index.php?m=project&amp;a=status&amp;id=3028"/>
    <hyperlink ref="A120" r:id="rId123" display="http://vykazy.brno.qcm.cz/index.php?m=project&amp;a=status&amp;id=2804"/>
    <hyperlink ref="A121" r:id="rId124" display="http://vykazy.brno.qcm.cz/index.php?m=project&amp;a=status&amp;id=4020"/>
    <hyperlink ref="A122" r:id="rId125" display="http://vykazy.brno.qcm.cz/index.php?m=project&amp;a=status&amp;id=4060"/>
    <hyperlink ref="A123" r:id="rId126" display="http://vykazy.brno.qcm.cz/index.php?m=project&amp;a=status&amp;id=4269"/>
    <hyperlink ref="A124" r:id="rId127" display="http://vykazy.brno.qcm.cz/index.php?m=project&amp;a=status&amp;id=3320"/>
    <hyperlink ref="A125" r:id="rId128" display="http://vykazy.brno.qcm.cz/index.php?m=project&amp;a=status&amp;id=4298"/>
    <hyperlink ref="A126" r:id="rId129" display="http://vykazy.brno.qcm.cz/index.php?m=project&amp;a=status&amp;id=3317"/>
    <hyperlink ref="A127" r:id="rId130" display="http://vykazy.brno.qcm.cz/index.php?m=project&amp;a=status&amp;id=4267"/>
    <hyperlink ref="A128" r:id="rId131" display="http://vykazy.brno.qcm.cz/index.php?m=project&amp;a=status&amp;id=4313"/>
    <hyperlink ref="A129" r:id="rId132" display="http://vykazy.brno.qcm.cz/index.php?m=project&amp;a=status&amp;id=4273"/>
    <hyperlink ref="A130" r:id="rId133" display="http://vykazy.brno.qcm.cz/index.php?m=project&amp;a=status&amp;id=503"/>
    <hyperlink ref="A131" r:id="rId134" display="http://vykazy.brno.qcm.cz/index.php?m=project&amp;a=status&amp;id=4280"/>
    <hyperlink ref="A132" r:id="rId135" display="http://vykazy.brno.qcm.cz/index.php?m=project&amp;a=status&amp;id=2677"/>
    <hyperlink ref="A133" r:id="rId136" display="http://vykazy.brno.qcm.cz/index.php?m=project&amp;a=status&amp;id=3226"/>
    <hyperlink ref="A134" r:id="rId137" display="http://vykazy.brno.qcm.cz/index.php?m=project&amp;a=status&amp;id=3352"/>
    <hyperlink ref="A135" r:id="rId138" display="http://vykazy.brno.qcm.cz/index.php?m=project&amp;a=status&amp;id=2735"/>
    <hyperlink ref="A136" r:id="rId139" display="http://vykazy.brno.qcm.cz/index.php?m=project&amp;a=status&amp;id=2109"/>
    <hyperlink ref="A137" r:id="rId140" display="http://vykazy.brno.qcm.cz/index.php?m=project&amp;a=status&amp;id=4997"/>
    <hyperlink ref="A138" r:id="rId141" display="http://vykazy.brno.qcm.cz/index.php?m=project&amp;a=status&amp;id=3680"/>
    <hyperlink ref="A139" r:id="rId142" display="http://vykazy.brno.qcm.cz/index.php?m=project&amp;a=status&amp;id=529"/>
    <hyperlink ref="A140" r:id="rId143" display="http://vykazy.brno.qcm.cz/index.php?m=project&amp;a=status&amp;id=2015"/>
    <hyperlink ref="A141" r:id="rId144" display="http://vykazy.brno.qcm.cz/index.php?m=project&amp;a=status&amp;id=3313"/>
    <hyperlink ref="A142" r:id="rId145" display="http://vykazy.brno.qcm.cz/index.php?m=project&amp;a=status&amp;id=1401"/>
    <hyperlink ref="A143" r:id="rId146" display="http://vykazy.brno.qcm.cz/index.php?m=project&amp;a=status&amp;id=3622"/>
    <hyperlink ref="A144" r:id="rId147" display="http://vykazy.brno.qcm.cz/index.php?m=project&amp;a=status&amp;id=3674"/>
    <hyperlink ref="A145" r:id="rId148" display="http://vykazy.brno.qcm.cz/index.php?m=project&amp;a=status&amp;id=3693"/>
    <hyperlink ref="A146" r:id="rId149" display="http://vykazy.brno.qcm.cz/index.php?m=project&amp;a=status&amp;id=4295"/>
    <hyperlink ref="A147" r:id="rId150" display="http://vykazy.brno.qcm.cz/index.php?m=project&amp;a=status&amp;id=2619"/>
    <hyperlink ref="A148" r:id="rId151" display="http://vykazy.brno.qcm.cz/index.php?m=project&amp;a=status&amp;id=1841"/>
    <hyperlink ref="A149" r:id="rId152" display="http://vykazy.brno.qcm.cz/index.php?m=project&amp;a=status&amp;id=1944"/>
    <hyperlink ref="A150" r:id="rId153" display="http://vykazy.brno.qcm.cz/index.php?m=project&amp;a=status&amp;id=2730"/>
    <hyperlink ref="A151" r:id="rId154" display="http://vykazy.brno.qcm.cz/index.php?m=project&amp;a=status&amp;id=3262"/>
    <hyperlink ref="A152" r:id="rId155" display="http://vykazy.brno.qcm.cz/index.php?m=project&amp;a=status&amp;id=1618"/>
    <hyperlink ref="A153" r:id="rId156" display="http://vykazy.brno.qcm.cz/index.php?m=project&amp;a=status&amp;id=3374"/>
    <hyperlink ref="A154" r:id="rId157" display="http://vykazy.brno.qcm.cz/index.php?m=project&amp;a=status&amp;id=3369"/>
    <hyperlink ref="A155" r:id="rId158" display="http://vykazy.brno.qcm.cz/index.php?m=project&amp;a=status&amp;id=2477"/>
    <hyperlink ref="A156" r:id="rId159" display="http://vykazy.brno.qcm.cz/index.php?m=project&amp;a=status&amp;id=4395"/>
    <hyperlink ref="A157" r:id="rId160" display="http://vykazy.brno.qcm.cz/index.php?m=project&amp;a=status&amp;id=5031"/>
    <hyperlink ref="A158" r:id="rId161" display="http://vykazy.brno.qcm.cz/index.php?m=project&amp;a=status&amp;id=3491"/>
    <hyperlink ref="A159" r:id="rId162" display="http://vykazy.brno.qcm.cz/index.php?m=project&amp;a=status&amp;id=907"/>
    <hyperlink ref="A160" r:id="rId163" display="http://vykazy.brno.qcm.cz/index.php?m=project&amp;a=status&amp;id=3173"/>
    <hyperlink ref="A161" r:id="rId164" display="http://vykazy.brno.qcm.cz/index.php?m=project&amp;a=status&amp;id=3318"/>
    <hyperlink ref="A162" r:id="rId165" display="http://vykazy.brno.qcm.cz/index.php?m=project&amp;a=status&amp;id=3322"/>
    <hyperlink ref="A163" r:id="rId166" display="http://vykazy.brno.qcm.cz/index.php?m=project&amp;a=status&amp;id=3323"/>
    <hyperlink ref="A164" r:id="rId167" display="http://vykazy.brno.qcm.cz/index.php?m=project&amp;a=status&amp;id=3446"/>
    <hyperlink ref="A165" r:id="rId168" display="http://vykazy.brno.qcm.cz/index.php?m=project&amp;a=status&amp;id=3331"/>
    <hyperlink ref="A166" r:id="rId169" display="http://vykazy.brno.qcm.cz/index.php?m=project&amp;a=status&amp;id=3319"/>
    <hyperlink ref="A167" r:id="rId170" display="http://vykazy.brno.qcm.cz/index.php?m=project&amp;a=status&amp;id=1222"/>
    <hyperlink ref="A168" r:id="rId171" display="http://vykazy.brno.qcm.cz/index.php?m=project&amp;a=status&amp;id=3382"/>
    <hyperlink ref="A169" r:id="rId172" display="http://vykazy.brno.qcm.cz/index.php?m=project&amp;a=status&amp;id=2498"/>
    <hyperlink ref="A170" r:id="rId173" display="http://vykazy.brno.qcm.cz/index.php?m=project&amp;a=status&amp;id=2905"/>
    <hyperlink ref="A171" r:id="rId174" display="http://vykazy.brno.qcm.cz/index.php?m=project&amp;a=status&amp;id=2040"/>
    <hyperlink ref="A172" r:id="rId175" display="http://vykazy.brno.qcm.cz/index.php?m=project&amp;a=status&amp;id=4373"/>
    <hyperlink ref="A173" r:id="rId176" display="http://vykazy.brno.qcm.cz/index.php?m=project&amp;a=status&amp;id=3208"/>
    <hyperlink ref="A174" r:id="rId177" display="http://vykazy.brno.qcm.cz/index.php?m=project&amp;a=status&amp;id=4659"/>
    <hyperlink ref="A175" r:id="rId178" display="http://vykazy.brno.qcm.cz/index.php?m=project&amp;a=status&amp;id=2652"/>
    <hyperlink ref="A176" r:id="rId179" display="http://vykazy.brno.qcm.cz/index.php?m=project&amp;a=status&amp;id=2105"/>
    <hyperlink ref="A177" r:id="rId180" display="http://vykazy.brno.qcm.cz/index.php?m=project&amp;a=status&amp;id=4128"/>
    <hyperlink ref="A178" r:id="rId181" display="http://vykazy.brno.qcm.cz/index.php?m=project&amp;a=status&amp;id=2803"/>
    <hyperlink ref="A179" r:id="rId182" display="http://vykazy.brno.qcm.cz/index.php?m=project&amp;a=status&amp;id=5078"/>
    <hyperlink ref="A180" r:id="rId183" display="http://vykazy.brno.qcm.cz/index.php?m=project&amp;a=status&amp;id=4620"/>
    <hyperlink ref="A181" r:id="rId184" display="http://vykazy.brno.qcm.cz/index.php?m=project&amp;a=status&amp;id=4394"/>
    <hyperlink ref="A182" r:id="rId185" display="http://vykazy.brno.qcm.cz/index.php?m=project&amp;a=status&amp;id=3780"/>
    <hyperlink ref="A183" r:id="rId186" display="http://vykazy.brno.qcm.cz/index.php?m=project&amp;a=status&amp;id=4319"/>
    <hyperlink ref="A184" r:id="rId187" display="http://vykazy.brno.qcm.cz/index.php?m=project&amp;a=status&amp;id=1211"/>
    <hyperlink ref="A185" r:id="rId188" display="http://vykazy.brno.qcm.cz/index.php?m=project&amp;a=status&amp;id=4396"/>
    <hyperlink ref="A186" r:id="rId189" display="http://vykazy.brno.qcm.cz/index.php?m=project&amp;a=status&amp;id=3200"/>
    <hyperlink ref="A187" r:id="rId190" display="http://vykazy.brno.qcm.cz/index.php?m=project&amp;a=status&amp;id=4629"/>
    <hyperlink ref="A188" r:id="rId191" display="http://vykazy.brno.qcm.cz/index.php?m=project&amp;a=status&amp;id=3175"/>
    <hyperlink ref="A189" r:id="rId192" display="http://vykazy.brno.qcm.cz/index.php?m=project&amp;a=status&amp;id=2085"/>
    <hyperlink ref="A190" r:id="rId193" display="http://vykazy.brno.qcm.cz/index.php?m=project&amp;a=status&amp;id=4764"/>
    <hyperlink ref="A191" r:id="rId194" display="http://vykazy.brno.qcm.cz/index.php?m=project&amp;a=status&amp;id=3029"/>
    <hyperlink ref="A192" r:id="rId195" display="http://vykazy.brno.qcm.cz/index.php?m=project&amp;a=status&amp;id=2807"/>
    <hyperlink ref="A193" r:id="rId196" display="http://vykazy.brno.qcm.cz/index.php?m=project&amp;a=status&amp;id=4318"/>
    <hyperlink ref="A194" r:id="rId197" display="http://vykazy.brno.qcm.cz/index.php?m=project&amp;a=status&amp;id=4265"/>
    <hyperlink ref="A195" r:id="rId198" display="http://vykazy.brno.qcm.cz/index.php?m=project&amp;a=status&amp;id=3533"/>
    <hyperlink ref="A196" r:id="rId199" display="http://vykazy.brno.qcm.cz/index.php?m=project&amp;a=status&amp;id=2566"/>
    <hyperlink ref="A197" r:id="rId200" display="http://vykazy.brno.qcm.cz/index.php?m=project&amp;a=status&amp;id=859"/>
    <hyperlink ref="A198" r:id="rId201" display="http://vykazy.brno.qcm.cz/index.php?m=project&amp;a=status&amp;id=2576"/>
    <hyperlink ref="A199" r:id="rId202" display="http://vykazy.brno.qcm.cz/index.php?m=project&amp;a=status&amp;id=4017"/>
    <hyperlink ref="A200" r:id="rId203" display="http://vykazy.brno.qcm.cz/index.php?m=project&amp;a=status&amp;id=2942"/>
    <hyperlink ref="A201" r:id="rId204" display="http://vykazy.brno.qcm.cz/index.php?m=project&amp;a=status&amp;id=2618"/>
    <hyperlink ref="A202" r:id="rId205" display="http://vykazy.brno.qcm.cz/index.php?m=project&amp;a=status&amp;id=1010"/>
    <hyperlink ref="A203" r:id="rId206" display="http://vykazy.brno.qcm.cz/index.php?m=project&amp;a=status&amp;id=3314"/>
    <hyperlink ref="A204" r:id="rId207" display="http://vykazy.brno.qcm.cz/index.php?m=project&amp;a=status&amp;id=2279"/>
    <hyperlink ref="A205" r:id="rId208" display="http://vykazy.brno.qcm.cz/index.php?m=project&amp;a=status&amp;id=2686"/>
    <hyperlink ref="A206" r:id="rId209" display="http://vykazy.brno.qcm.cz/index.php?m=project&amp;a=status&amp;id=3630"/>
    <hyperlink ref="A207" r:id="rId210" display="http://vykazy.brno.qcm.cz/index.php?m=project&amp;a=status&amp;id=2521"/>
    <hyperlink ref="A208" r:id="rId211" display="http://vykazy.brno.qcm.cz/index.php?m=project&amp;a=status&amp;id=3469"/>
    <hyperlink ref="A209" r:id="rId212" display="http://vykazy.brno.qcm.cz/index.php?m=project&amp;a=status&amp;id=4389"/>
    <hyperlink ref="A210" r:id="rId213" display="http://vykazy.brno.qcm.cz/index.php?m=project&amp;a=status&amp;id=3409"/>
    <hyperlink ref="A211" r:id="rId214" display="http://vykazy.brno.qcm.cz/index.php?m=project&amp;a=status&amp;id=3201"/>
    <hyperlink ref="A212" r:id="rId215" display="http://vykazy.brno.qcm.cz/index.php?m=project&amp;a=status&amp;id=762"/>
    <hyperlink ref="A213" r:id="rId216" display="http://vykazy.brno.qcm.cz/index.php?m=project&amp;a=status&amp;id=4587"/>
    <hyperlink ref="A214" r:id="rId217" display="http://vykazy.brno.qcm.cz/index.php?m=project&amp;a=status&amp;id=2023"/>
    <hyperlink ref="A215" r:id="rId218" display="http://vykazy.brno.qcm.cz/index.php?m=project&amp;a=status&amp;id=4165"/>
    <hyperlink ref="A216" r:id="rId219" display="http://vykazy.brno.qcm.cz/index.php?m=project&amp;a=status&amp;id=3293"/>
    <hyperlink ref="A217" r:id="rId220" display="http://vykazy.brno.qcm.cz/index.php?m=project&amp;a=status&amp;id=2540"/>
    <hyperlink ref="A218" r:id="rId221" display="http://vykazy.brno.qcm.cz/index.php?m=project&amp;a=status&amp;id=1072"/>
    <hyperlink ref="A219" r:id="rId222" display="http://vykazy.brno.qcm.cz/index.php?m=project&amp;a=status&amp;id=2681"/>
    <hyperlink ref="A220" r:id="rId223" display="http://vykazy.brno.qcm.cz/index.php?m=project&amp;a=status&amp;id=4068"/>
    <hyperlink ref="A221" r:id="rId224" display="http://vykazy.brno.qcm.cz/index.php?m=project&amp;a=status&amp;id=2401"/>
    <hyperlink ref="A222" r:id="rId225" display="http://vykazy.brno.qcm.cz/index.php?m=project&amp;a=status&amp;id=4846"/>
    <hyperlink ref="A223" r:id="rId226" display="http://vykazy.brno.qcm.cz/index.php?m=project&amp;a=status&amp;id=1803"/>
    <hyperlink ref="A224" r:id="rId227" display="http://vykazy.brno.qcm.cz/index.php?m=project&amp;a=status&amp;id=3489"/>
    <hyperlink ref="A225" r:id="rId228" display="http://vykazy.brno.qcm.cz/index.php?m=project&amp;a=status&amp;id=2430"/>
    <hyperlink ref="A226" r:id="rId229" display="http://vykazy.brno.qcm.cz/index.php?m=project&amp;a=status&amp;id=1436"/>
    <hyperlink ref="A227" r:id="rId230" display="http://vykazy.brno.qcm.cz/index.php?m=project&amp;a=status&amp;id=2075"/>
    <hyperlink ref="A228" r:id="rId231" display="http://vykazy.brno.qcm.cz/index.php?m=project&amp;a=status&amp;id=4515"/>
    <hyperlink ref="A229" r:id="rId232" display="http://vykazy.brno.qcm.cz/index.php?m=project&amp;a=status&amp;id=2261"/>
    <hyperlink ref="A230" r:id="rId233" display="http://vykazy.brno.qcm.cz/index.php?m=project&amp;a=status&amp;id=2903"/>
    <hyperlink ref="A231" r:id="rId234" display="http://vykazy.brno.qcm.cz/index.php?m=project&amp;a=status&amp;id=2944"/>
    <hyperlink ref="A232" r:id="rId235" display="http://vykazy.brno.qcm.cz/index.php?m=project&amp;a=status&amp;id=3355"/>
    <hyperlink ref="A233" r:id="rId236" display="http://vykazy.brno.qcm.cz/index.php?m=project&amp;a=status&amp;id=2513"/>
    <hyperlink ref="A234" r:id="rId237" display="http://vykazy.brno.qcm.cz/index.php?m=project&amp;a=status&amp;id=1945"/>
    <hyperlink ref="A235" r:id="rId238" display="http://vykazy.brno.qcm.cz/index.php?m=project&amp;a=status&amp;id=4621"/>
    <hyperlink ref="A236" r:id="rId239" display="http://vykazy.brno.qcm.cz/index.php?m=project&amp;a=status&amp;id=3653"/>
    <hyperlink ref="A237" r:id="rId240" display="http://vykazy.brno.qcm.cz/index.php?m=project&amp;a=status&amp;id=3357"/>
    <hyperlink ref="A238" r:id="rId241" display="http://vykazy.brno.qcm.cz/index.php?m=project&amp;a=status&amp;id=2338"/>
    <hyperlink ref="A239" r:id="rId242" display="http://vykazy.brno.qcm.cz/index.php?m=project&amp;a=status&amp;id=4634"/>
    <hyperlink ref="A240" r:id="rId243" display="http://vykazy.brno.qcm.cz/index.php?m=project&amp;a=status&amp;id=2097"/>
    <hyperlink ref="A241" r:id="rId244" display="http://vykazy.brno.qcm.cz/index.php?m=project&amp;a=status&amp;id=5095"/>
    <hyperlink ref="A242" r:id="rId245" display="http://vykazy.brno.qcm.cz/index.php?m=project&amp;a=status&amp;id=4384"/>
    <hyperlink ref="A243" r:id="rId246" display="http://vykazy.brno.qcm.cz/index.php?m=project&amp;a=status&amp;id=1836"/>
    <hyperlink ref="A244" r:id="rId247" display="http://vykazy.brno.qcm.cz/index.php?m=project&amp;a=status&amp;id=2633"/>
    <hyperlink ref="A245" r:id="rId248" display="http://vykazy.brno.qcm.cz/index.php?m=project&amp;a=status&amp;id=3884"/>
    <hyperlink ref="A246" r:id="rId249" display="http://vykazy.brno.qcm.cz/index.php?m=project&amp;a=status&amp;id=4372"/>
    <hyperlink ref="A247" r:id="rId250" display="http://vykazy.brno.qcm.cz/index.php?m=project&amp;a=status&amp;id=3128"/>
    <hyperlink ref="A248" r:id="rId251" display="http://vykazy.brno.qcm.cz/index.php?m=project&amp;a=status&amp;id=1163"/>
    <hyperlink ref="A249" r:id="rId252" display="http://vykazy.brno.qcm.cz/index.php?m=project&amp;a=status&amp;id=4287"/>
    <hyperlink ref="A250" r:id="rId253" display="http://vykazy.brno.qcm.cz/index.php?m=project&amp;a=status&amp;id=2733"/>
    <hyperlink ref="A251" r:id="rId254" display="http://vykazy.brno.qcm.cz/index.php?m=project&amp;a=status&amp;id=2678"/>
    <hyperlink ref="A252" r:id="rId255" display="http://vykazy.brno.qcm.cz/index.php?m=project&amp;a=status&amp;id=4171"/>
    <hyperlink ref="A253" r:id="rId256" display="http://vykazy.brno.qcm.cz/index.php?m=project&amp;a=status&amp;id=2744"/>
    <hyperlink ref="A254" r:id="rId257" display="http://vykazy.brno.qcm.cz/index.php?m=project&amp;a=status&amp;id=1013"/>
    <hyperlink ref="A255" r:id="rId258" display="http://vykazy.brno.qcm.cz/index.php?m=project&amp;a=status&amp;id=4457"/>
    <hyperlink ref="A256" r:id="rId259" display="http://vykazy.brno.qcm.cz/index.php?m=project&amp;a=status&amp;id=3129"/>
    <hyperlink ref="A257" r:id="rId260" display="http://vykazy.brno.qcm.cz/index.php?m=project&amp;a=status&amp;id=2731"/>
    <hyperlink ref="A258" r:id="rId261" display="http://vykazy.brno.qcm.cz/index.php?m=project&amp;a=status&amp;id=2544"/>
    <hyperlink ref="A259" r:id="rId262" display="http://vykazy.brno.qcm.cz/index.php?m=project&amp;a=status&amp;id=4348"/>
    <hyperlink ref="A260" r:id="rId263" display="http://vykazy.brno.qcm.cz/index.php?m=project&amp;a=status&amp;id=2489"/>
    <hyperlink ref="A261" r:id="rId264" display="http://vykazy.brno.qcm.cz/index.php?m=project&amp;a=status&amp;id=2344"/>
    <hyperlink ref="A262" r:id="rId265" display="http://vykazy.brno.qcm.cz/index.php?m=project&amp;a=status&amp;id=3183"/>
    <hyperlink ref="A263" r:id="rId266" display="http://vykazy.brno.qcm.cz/index.php?m=project&amp;a=status&amp;id=2864"/>
    <hyperlink ref="A264" r:id="rId267" display="http://vykazy.brno.qcm.cz/index.php?m=project&amp;a=status&amp;id=3385"/>
    <hyperlink ref="A265" r:id="rId268" display="http://vykazy.brno.qcm.cz/index.php?m=project&amp;a=status&amp;id=2650"/>
    <hyperlink ref="A266" r:id="rId269" display="http://vykazy.brno.qcm.cz/index.php?m=project&amp;a=status&amp;id=3347"/>
    <hyperlink ref="A267" r:id="rId270" display="http://vykazy.brno.qcm.cz/index.php?m=project&amp;a=status&amp;id=2697"/>
    <hyperlink ref="A268" r:id="rId271" display="http://vykazy.brno.qcm.cz/index.php?m=project&amp;a=status&amp;id=4387"/>
    <hyperlink ref="A269" r:id="rId272" display="http://vykazy.brno.qcm.cz/index.php?m=project&amp;a=status&amp;id=2423"/>
    <hyperlink ref="A270" r:id="rId273" display="http://vykazy.brno.qcm.cz/index.php?m=project&amp;a=status&amp;id=2656"/>
    <hyperlink ref="A271" r:id="rId274" display="http://vykazy.brno.qcm.cz/index.php?m=project&amp;a=status&amp;id=3419"/>
    <hyperlink ref="A272" r:id="rId275" display="http://vykazy.brno.qcm.cz/index.php?m=project&amp;a=status&amp;id=3299"/>
  </hyperlinks>
  <pageMargins left="0.7" right="0.7" top="0.78740157499999996" bottom="0.78740157499999996" header="0.3" footer="0.3"/>
  <pageSetup paperSize="9" orientation="portrait" r:id="rId27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opLeftCell="A101" zoomScale="80" zoomScaleNormal="80" workbookViewId="0">
      <selection activeCell="B142" sqref="B142"/>
    </sheetView>
  </sheetViews>
  <sheetFormatPr defaultRowHeight="15" x14ac:dyDescent="0.25"/>
  <cols>
    <col min="2" max="2" width="56.85546875" customWidth="1"/>
    <col min="3" max="3" width="10.5703125" customWidth="1"/>
    <col min="4" max="4" width="11" customWidth="1"/>
    <col min="5" max="5" width="13.42578125" style="345" customWidth="1"/>
    <col min="6" max="6" width="85.5703125" customWidth="1"/>
    <col min="7" max="7" width="88.42578125" customWidth="1"/>
  </cols>
  <sheetData>
    <row r="1" spans="1:7" x14ac:dyDescent="0.25">
      <c r="A1" s="131" t="s">
        <v>692</v>
      </c>
      <c r="B1" s="132" t="s">
        <v>693</v>
      </c>
      <c r="C1" s="133" t="s">
        <v>694</v>
      </c>
      <c r="D1" s="134" t="s">
        <v>695</v>
      </c>
      <c r="E1" s="346" t="s">
        <v>696</v>
      </c>
      <c r="F1" s="133" t="s">
        <v>697</v>
      </c>
      <c r="G1" s="135" t="s">
        <v>698</v>
      </c>
    </row>
    <row r="2" spans="1:7" x14ac:dyDescent="0.25">
      <c r="A2" s="136">
        <v>1</v>
      </c>
      <c r="B2" t="s">
        <v>366</v>
      </c>
      <c r="C2" t="s">
        <v>367</v>
      </c>
      <c r="D2" s="137">
        <v>42380</v>
      </c>
      <c r="E2" s="345" t="s">
        <v>699</v>
      </c>
      <c r="F2" t="s">
        <v>700</v>
      </c>
      <c r="G2" s="581" t="s">
        <v>701</v>
      </c>
    </row>
    <row r="3" spans="1:7" x14ac:dyDescent="0.25">
      <c r="A3" s="138">
        <v>2</v>
      </c>
      <c r="B3" t="s">
        <v>112</v>
      </c>
      <c r="C3" t="s">
        <v>113</v>
      </c>
      <c r="D3" s="137">
        <v>42381</v>
      </c>
      <c r="E3" s="345" t="s">
        <v>702</v>
      </c>
      <c r="F3" t="s">
        <v>703</v>
      </c>
      <c r="G3" s="279" t="s">
        <v>704</v>
      </c>
    </row>
    <row r="4" spans="1:7" x14ac:dyDescent="0.25">
      <c r="A4" s="138">
        <v>3</v>
      </c>
      <c r="B4" t="s">
        <v>705</v>
      </c>
      <c r="C4" t="s">
        <v>377</v>
      </c>
      <c r="D4" s="137">
        <v>42382</v>
      </c>
      <c r="E4" s="345" t="s">
        <v>702</v>
      </c>
      <c r="F4" t="s">
        <v>706</v>
      </c>
      <c r="G4" s="279" t="s">
        <v>707</v>
      </c>
    </row>
    <row r="5" spans="1:7" x14ac:dyDescent="0.25">
      <c r="A5" s="138">
        <v>4</v>
      </c>
      <c r="B5" t="s">
        <v>708</v>
      </c>
      <c r="C5" t="s">
        <v>125</v>
      </c>
      <c r="D5" s="137">
        <v>42382</v>
      </c>
      <c r="E5" s="345" t="s">
        <v>702</v>
      </c>
      <c r="F5" t="s">
        <v>709</v>
      </c>
      <c r="G5" s="279" t="s">
        <v>710</v>
      </c>
    </row>
    <row r="6" spans="1:7" x14ac:dyDescent="0.25">
      <c r="A6" s="138">
        <v>5</v>
      </c>
      <c r="B6" t="s">
        <v>711</v>
      </c>
      <c r="C6" t="s">
        <v>261</v>
      </c>
      <c r="D6" s="137">
        <v>42383</v>
      </c>
      <c r="E6" s="345" t="s">
        <v>702</v>
      </c>
      <c r="F6" t="s">
        <v>712</v>
      </c>
      <c r="G6" s="279" t="s">
        <v>713</v>
      </c>
    </row>
    <row r="7" spans="1:7" x14ac:dyDescent="0.25">
      <c r="A7" s="138">
        <v>6</v>
      </c>
      <c r="B7" t="s">
        <v>255</v>
      </c>
      <c r="C7" t="s">
        <v>256</v>
      </c>
      <c r="D7" s="137">
        <v>42383</v>
      </c>
      <c r="E7" s="345" t="s">
        <v>702</v>
      </c>
      <c r="G7" s="279" t="s">
        <v>714</v>
      </c>
    </row>
    <row r="8" spans="1:7" x14ac:dyDescent="0.25">
      <c r="A8" s="138">
        <v>7</v>
      </c>
      <c r="B8" t="s">
        <v>420</v>
      </c>
      <c r="C8" t="s">
        <v>421</v>
      </c>
      <c r="D8" s="137">
        <v>42387</v>
      </c>
      <c r="E8" s="345" t="s">
        <v>699</v>
      </c>
      <c r="F8" t="s">
        <v>715</v>
      </c>
      <c r="G8" s="279" t="s">
        <v>716</v>
      </c>
    </row>
    <row r="9" spans="1:7" x14ac:dyDescent="0.25">
      <c r="A9" s="138">
        <v>8</v>
      </c>
      <c r="B9" t="s">
        <v>262</v>
      </c>
      <c r="C9" t="s">
        <v>263</v>
      </c>
      <c r="D9" s="137">
        <v>42396</v>
      </c>
      <c r="E9" s="345" t="s">
        <v>702</v>
      </c>
      <c r="G9" s="279" t="s">
        <v>717</v>
      </c>
    </row>
    <row r="10" spans="1:7" x14ac:dyDescent="0.25">
      <c r="A10" s="138">
        <v>9</v>
      </c>
      <c r="B10" t="s">
        <v>718</v>
      </c>
      <c r="C10" s="139" t="s">
        <v>301</v>
      </c>
      <c r="D10" s="137">
        <v>42402</v>
      </c>
      <c r="E10" s="345" t="s">
        <v>699</v>
      </c>
      <c r="F10" t="s">
        <v>719</v>
      </c>
      <c r="G10" s="279" t="s">
        <v>720</v>
      </c>
    </row>
    <row r="11" spans="1:7" x14ac:dyDescent="0.25">
      <c r="A11" s="138">
        <v>10</v>
      </c>
      <c r="B11" t="s">
        <v>721</v>
      </c>
      <c r="C11" t="s">
        <v>436</v>
      </c>
      <c r="D11" s="137">
        <v>42418</v>
      </c>
      <c r="E11" s="345" t="s">
        <v>699</v>
      </c>
      <c r="F11" t="s">
        <v>722</v>
      </c>
      <c r="G11" s="279" t="s">
        <v>723</v>
      </c>
    </row>
    <row r="12" spans="1:7" x14ac:dyDescent="0.25">
      <c r="A12" s="138">
        <v>11</v>
      </c>
      <c r="B12" t="s">
        <v>304</v>
      </c>
      <c r="C12" t="s">
        <v>581</v>
      </c>
      <c r="D12" s="137">
        <v>42419</v>
      </c>
      <c r="E12" s="345" t="s">
        <v>702</v>
      </c>
      <c r="F12" t="s">
        <v>724</v>
      </c>
      <c r="G12" s="279" t="s">
        <v>725</v>
      </c>
    </row>
    <row r="13" spans="1:7" x14ac:dyDescent="0.25">
      <c r="A13" s="138">
        <v>12</v>
      </c>
      <c r="B13" t="s">
        <v>726</v>
      </c>
      <c r="C13" t="s">
        <v>575</v>
      </c>
      <c r="D13" s="137">
        <v>42424</v>
      </c>
      <c r="E13" s="345" t="s">
        <v>702</v>
      </c>
      <c r="F13" t="s">
        <v>727</v>
      </c>
      <c r="G13" s="279" t="s">
        <v>728</v>
      </c>
    </row>
    <row r="14" spans="1:7" x14ac:dyDescent="0.25">
      <c r="A14" s="138">
        <v>13</v>
      </c>
      <c r="B14" t="s">
        <v>579</v>
      </c>
      <c r="C14" t="s">
        <v>580</v>
      </c>
      <c r="D14" s="137">
        <v>42425</v>
      </c>
      <c r="E14" s="345" t="s">
        <v>702</v>
      </c>
      <c r="F14" t="s">
        <v>729</v>
      </c>
      <c r="G14" s="279" t="s">
        <v>730</v>
      </c>
    </row>
    <row r="15" spans="1:7" x14ac:dyDescent="0.25">
      <c r="A15" s="138">
        <v>14</v>
      </c>
      <c r="B15" t="s">
        <v>298</v>
      </c>
      <c r="C15" t="s">
        <v>299</v>
      </c>
      <c r="D15" s="137">
        <v>42430</v>
      </c>
      <c r="E15" s="345" t="s">
        <v>731</v>
      </c>
      <c r="F15" t="s">
        <v>732</v>
      </c>
      <c r="G15" s="279"/>
    </row>
    <row r="16" spans="1:7" x14ac:dyDescent="0.25">
      <c r="A16" s="138">
        <v>15</v>
      </c>
      <c r="B16" t="s">
        <v>120</v>
      </c>
      <c r="C16" t="s">
        <v>121</v>
      </c>
      <c r="D16" s="137">
        <v>42444</v>
      </c>
      <c r="E16" s="345" t="s">
        <v>731</v>
      </c>
      <c r="F16" t="s">
        <v>733</v>
      </c>
      <c r="G16" s="279" t="s">
        <v>734</v>
      </c>
    </row>
    <row r="17" spans="1:7" x14ac:dyDescent="0.25">
      <c r="A17" s="138">
        <v>16</v>
      </c>
      <c r="B17" t="s">
        <v>605</v>
      </c>
      <c r="C17" t="s">
        <v>606</v>
      </c>
      <c r="D17" s="137">
        <v>42444</v>
      </c>
      <c r="F17" t="s">
        <v>735</v>
      </c>
      <c r="G17" s="279" t="s">
        <v>736</v>
      </c>
    </row>
    <row r="18" spans="1:7" x14ac:dyDescent="0.25">
      <c r="A18" s="138">
        <v>17</v>
      </c>
      <c r="B18" t="s">
        <v>737</v>
      </c>
      <c r="C18" t="s">
        <v>284</v>
      </c>
      <c r="D18" s="137">
        <v>42444</v>
      </c>
      <c r="E18" s="345" t="s">
        <v>699</v>
      </c>
      <c r="F18" t="s">
        <v>738</v>
      </c>
      <c r="G18" s="279" t="s">
        <v>739</v>
      </c>
    </row>
    <row r="19" spans="1:7" x14ac:dyDescent="0.25">
      <c r="A19" s="138">
        <v>18</v>
      </c>
      <c r="B19" t="s">
        <v>740</v>
      </c>
      <c r="D19" s="137">
        <v>42444</v>
      </c>
      <c r="E19" s="345" t="s">
        <v>699</v>
      </c>
      <c r="F19" t="s">
        <v>741</v>
      </c>
      <c r="G19" s="279"/>
    </row>
    <row r="20" spans="1:7" x14ac:dyDescent="0.25">
      <c r="A20" s="140">
        <v>19</v>
      </c>
      <c r="B20" t="s">
        <v>294</v>
      </c>
      <c r="C20" t="s">
        <v>295</v>
      </c>
      <c r="D20" s="137">
        <v>42450</v>
      </c>
      <c r="E20" s="345" t="s">
        <v>731</v>
      </c>
      <c r="F20" t="s">
        <v>742</v>
      </c>
      <c r="G20" s="279" t="s">
        <v>743</v>
      </c>
    </row>
    <row r="21" spans="1:7" x14ac:dyDescent="0.25">
      <c r="A21" s="140">
        <v>20</v>
      </c>
      <c r="B21" t="s">
        <v>650</v>
      </c>
      <c r="C21" t="s">
        <v>651</v>
      </c>
      <c r="D21" s="137">
        <v>42461</v>
      </c>
      <c r="E21" s="345" t="s">
        <v>702</v>
      </c>
      <c r="G21" s="279" t="s">
        <v>744</v>
      </c>
    </row>
    <row r="22" spans="1:7" x14ac:dyDescent="0.25">
      <c r="A22" s="140">
        <v>21</v>
      </c>
      <c r="B22" t="s">
        <v>633</v>
      </c>
      <c r="C22" t="s">
        <v>634</v>
      </c>
      <c r="D22" s="137">
        <v>42461</v>
      </c>
      <c r="E22" s="345" t="s">
        <v>702</v>
      </c>
      <c r="G22" s="279" t="s">
        <v>745</v>
      </c>
    </row>
    <row r="23" spans="1:7" x14ac:dyDescent="0.25">
      <c r="A23" s="140">
        <v>22</v>
      </c>
      <c r="B23" t="s">
        <v>645</v>
      </c>
      <c r="C23" t="s">
        <v>646</v>
      </c>
      <c r="D23" s="137">
        <v>42461</v>
      </c>
      <c r="E23" s="345" t="s">
        <v>702</v>
      </c>
      <c r="G23" s="279" t="s">
        <v>746</v>
      </c>
    </row>
    <row r="24" spans="1:7" x14ac:dyDescent="0.25">
      <c r="A24" s="140">
        <v>23</v>
      </c>
      <c r="B24" t="s">
        <v>366</v>
      </c>
      <c r="C24" t="s">
        <v>367</v>
      </c>
      <c r="D24" s="137">
        <v>42475</v>
      </c>
      <c r="E24" s="345" t="s">
        <v>699</v>
      </c>
      <c r="F24" t="s">
        <v>747</v>
      </c>
      <c r="G24" s="279" t="s">
        <v>748</v>
      </c>
    </row>
    <row r="25" spans="1:7" x14ac:dyDescent="0.25">
      <c r="A25" s="140">
        <v>24</v>
      </c>
      <c r="B25" t="s">
        <v>610</v>
      </c>
      <c r="C25" t="s">
        <v>611</v>
      </c>
      <c r="D25" s="137">
        <v>42475</v>
      </c>
      <c r="E25" s="345" t="s">
        <v>702</v>
      </c>
      <c r="F25" t="s">
        <v>749</v>
      </c>
      <c r="G25" s="279" t="s">
        <v>750</v>
      </c>
    </row>
    <row r="26" spans="1:7" x14ac:dyDescent="0.25">
      <c r="A26" s="140">
        <v>25</v>
      </c>
      <c r="B26" t="s">
        <v>751</v>
      </c>
      <c r="C26" t="s">
        <v>630</v>
      </c>
      <c r="D26" s="137">
        <v>42475</v>
      </c>
      <c r="E26" s="345" t="s">
        <v>702</v>
      </c>
      <c r="F26" t="s">
        <v>752</v>
      </c>
      <c r="G26" s="279" t="s">
        <v>753</v>
      </c>
    </row>
    <row r="27" spans="1:7" x14ac:dyDescent="0.25">
      <c r="A27" s="140">
        <v>26</v>
      </c>
      <c r="B27" t="s">
        <v>754</v>
      </c>
      <c r="C27" t="s">
        <v>607</v>
      </c>
      <c r="D27" s="137">
        <v>42431</v>
      </c>
      <c r="E27" s="345" t="s">
        <v>702</v>
      </c>
      <c r="F27" t="s">
        <v>755</v>
      </c>
      <c r="G27" s="279"/>
    </row>
    <row r="28" spans="1:7" x14ac:dyDescent="0.25">
      <c r="A28" s="140">
        <v>27</v>
      </c>
      <c r="B28" t="s">
        <v>643</v>
      </c>
      <c r="C28" t="s">
        <v>644</v>
      </c>
      <c r="D28" s="137">
        <v>42494</v>
      </c>
      <c r="E28" s="345" t="s">
        <v>702</v>
      </c>
      <c r="F28" t="s">
        <v>756</v>
      </c>
      <c r="G28" s="279" t="s">
        <v>757</v>
      </c>
    </row>
    <row r="29" spans="1:7" x14ac:dyDescent="0.25">
      <c r="A29" s="140">
        <v>28</v>
      </c>
      <c r="B29" t="s">
        <v>635</v>
      </c>
      <c r="C29" t="s">
        <v>636</v>
      </c>
      <c r="D29" s="137">
        <v>42494</v>
      </c>
      <c r="E29" s="345" t="s">
        <v>702</v>
      </c>
      <c r="F29" t="s">
        <v>756</v>
      </c>
      <c r="G29" s="279" t="s">
        <v>758</v>
      </c>
    </row>
    <row r="30" spans="1:7" x14ac:dyDescent="0.25">
      <c r="A30" s="140">
        <v>29</v>
      </c>
      <c r="B30" t="s">
        <v>637</v>
      </c>
      <c r="C30" t="s">
        <v>638</v>
      </c>
      <c r="D30" s="137">
        <v>42494</v>
      </c>
      <c r="E30" s="345" t="s">
        <v>702</v>
      </c>
      <c r="F30" t="s">
        <v>759</v>
      </c>
      <c r="G30" s="279" t="s">
        <v>760</v>
      </c>
    </row>
    <row r="31" spans="1:7" x14ac:dyDescent="0.25">
      <c r="A31" s="140">
        <v>30</v>
      </c>
      <c r="B31" t="s">
        <v>577</v>
      </c>
      <c r="C31" t="s">
        <v>578</v>
      </c>
      <c r="D31" s="137">
        <v>42500</v>
      </c>
      <c r="E31" s="345" t="s">
        <v>702</v>
      </c>
      <c r="F31" t="s">
        <v>761</v>
      </c>
      <c r="G31" s="279" t="s">
        <v>762</v>
      </c>
    </row>
    <row r="32" spans="1:7" x14ac:dyDescent="0.25">
      <c r="A32" s="140">
        <v>31</v>
      </c>
      <c r="B32" t="s">
        <v>229</v>
      </c>
      <c r="C32" t="s">
        <v>230</v>
      </c>
      <c r="D32" s="137">
        <v>42501</v>
      </c>
      <c r="E32" s="345" t="s">
        <v>702</v>
      </c>
      <c r="F32" t="s">
        <v>759</v>
      </c>
      <c r="G32" s="279" t="s">
        <v>763</v>
      </c>
    </row>
    <row r="33" spans="1:7" x14ac:dyDescent="0.25">
      <c r="A33" s="140">
        <v>32</v>
      </c>
      <c r="B33" t="s">
        <v>608</v>
      </c>
      <c r="C33" t="s">
        <v>609</v>
      </c>
      <c r="D33" s="137">
        <v>42506</v>
      </c>
      <c r="E33" s="345" t="s">
        <v>702</v>
      </c>
      <c r="F33" t="s">
        <v>764</v>
      </c>
      <c r="G33" s="279" t="s">
        <v>765</v>
      </c>
    </row>
    <row r="34" spans="1:7" x14ac:dyDescent="0.25">
      <c r="A34" s="140">
        <v>33</v>
      </c>
      <c r="B34" t="s">
        <v>300</v>
      </c>
      <c r="C34" t="s">
        <v>301</v>
      </c>
      <c r="D34" s="137">
        <v>42507</v>
      </c>
      <c r="E34" s="345" t="s">
        <v>731</v>
      </c>
      <c r="F34" t="s">
        <v>766</v>
      </c>
      <c r="G34" s="279" t="s">
        <v>767</v>
      </c>
    </row>
    <row r="35" spans="1:7" x14ac:dyDescent="0.25">
      <c r="A35" s="140">
        <v>34</v>
      </c>
      <c r="B35" t="s">
        <v>215</v>
      </c>
      <c r="C35" t="s">
        <v>216</v>
      </c>
      <c r="D35" s="137">
        <v>42524</v>
      </c>
      <c r="E35" s="345" t="s">
        <v>699</v>
      </c>
      <c r="F35" t="s">
        <v>768</v>
      </c>
      <c r="G35" s="279" t="s">
        <v>769</v>
      </c>
    </row>
    <row r="36" spans="1:7" x14ac:dyDescent="0.25">
      <c r="A36" s="140">
        <v>35</v>
      </c>
      <c r="B36" t="s">
        <v>625</v>
      </c>
      <c r="C36" t="s">
        <v>626</v>
      </c>
      <c r="D36" s="137">
        <v>42524</v>
      </c>
      <c r="E36" s="345" t="s">
        <v>702</v>
      </c>
      <c r="F36" t="s">
        <v>770</v>
      </c>
      <c r="G36" s="279" t="s">
        <v>771</v>
      </c>
    </row>
    <row r="37" spans="1:7" x14ac:dyDescent="0.25">
      <c r="A37" s="140">
        <v>36</v>
      </c>
      <c r="B37" t="s">
        <v>631</v>
      </c>
      <c r="C37" t="s">
        <v>632</v>
      </c>
      <c r="D37" s="137">
        <v>42524</v>
      </c>
      <c r="E37" s="345" t="s">
        <v>702</v>
      </c>
      <c r="F37" t="s">
        <v>772</v>
      </c>
      <c r="G37" s="582" t="s">
        <v>773</v>
      </c>
    </row>
    <row r="38" spans="1:7" x14ac:dyDescent="0.25">
      <c r="A38" s="140">
        <v>37</v>
      </c>
      <c r="B38" t="s">
        <v>482</v>
      </c>
      <c r="C38" t="s">
        <v>684</v>
      </c>
      <c r="D38" s="137">
        <v>42534</v>
      </c>
      <c r="E38" s="345" t="s">
        <v>702</v>
      </c>
      <c r="F38" t="s">
        <v>759</v>
      </c>
      <c r="G38" s="279" t="s">
        <v>774</v>
      </c>
    </row>
    <row r="39" spans="1:7" x14ac:dyDescent="0.25">
      <c r="A39" s="140">
        <v>38</v>
      </c>
      <c r="B39" t="s">
        <v>652</v>
      </c>
      <c r="C39" t="s">
        <v>653</v>
      </c>
      <c r="D39" s="137">
        <v>42537</v>
      </c>
      <c r="E39" s="345" t="s">
        <v>702</v>
      </c>
      <c r="F39" t="s">
        <v>775</v>
      </c>
      <c r="G39" s="279" t="s">
        <v>776</v>
      </c>
    </row>
    <row r="40" spans="1:7" x14ac:dyDescent="0.25">
      <c r="A40" s="140">
        <v>39</v>
      </c>
      <c r="B40" t="s">
        <v>656</v>
      </c>
      <c r="C40" t="s">
        <v>657</v>
      </c>
      <c r="D40" s="137">
        <v>42541</v>
      </c>
      <c r="E40" s="345" t="s">
        <v>702</v>
      </c>
      <c r="F40" t="s">
        <v>759</v>
      </c>
      <c r="G40" s="279" t="s">
        <v>801</v>
      </c>
    </row>
    <row r="41" spans="1:7" x14ac:dyDescent="0.25">
      <c r="A41" s="140">
        <v>40</v>
      </c>
      <c r="B41" t="s">
        <v>409</v>
      </c>
      <c r="C41" t="s">
        <v>410</v>
      </c>
      <c r="D41" s="137">
        <v>42543</v>
      </c>
      <c r="E41" s="345" t="s">
        <v>731</v>
      </c>
      <c r="F41" t="s">
        <v>802</v>
      </c>
      <c r="G41" s="279" t="s">
        <v>803</v>
      </c>
    </row>
    <row r="42" spans="1:7" x14ac:dyDescent="0.25">
      <c r="A42" s="140">
        <v>41</v>
      </c>
      <c r="B42" t="s">
        <v>129</v>
      </c>
      <c r="C42" t="s">
        <v>130</v>
      </c>
      <c r="D42" s="137">
        <v>42559</v>
      </c>
      <c r="E42" s="345" t="s">
        <v>699</v>
      </c>
      <c r="F42" t="s">
        <v>804</v>
      </c>
      <c r="G42" s="279" t="s">
        <v>805</v>
      </c>
    </row>
    <row r="43" spans="1:7" x14ac:dyDescent="0.25">
      <c r="A43" s="140">
        <v>42</v>
      </c>
      <c r="B43" t="s">
        <v>296</v>
      </c>
      <c r="C43" t="s">
        <v>297</v>
      </c>
      <c r="D43" s="137">
        <v>42572</v>
      </c>
      <c r="E43" s="345" t="s">
        <v>699</v>
      </c>
      <c r="F43" t="s">
        <v>856</v>
      </c>
      <c r="G43" s="279" t="s">
        <v>857</v>
      </c>
    </row>
    <row r="44" spans="1:7" x14ac:dyDescent="0.25">
      <c r="A44" s="140">
        <v>43</v>
      </c>
      <c r="B44" t="s">
        <v>640</v>
      </c>
      <c r="C44" t="s">
        <v>641</v>
      </c>
      <c r="D44" s="137">
        <v>42572</v>
      </c>
      <c r="E44" s="345" t="s">
        <v>702</v>
      </c>
      <c r="F44" t="s">
        <v>858</v>
      </c>
      <c r="G44" s="279" t="s">
        <v>859</v>
      </c>
    </row>
    <row r="45" spans="1:7" x14ac:dyDescent="0.25">
      <c r="A45" s="140">
        <v>44</v>
      </c>
      <c r="B45" t="s">
        <v>431</v>
      </c>
      <c r="C45" t="s">
        <v>432</v>
      </c>
      <c r="D45" s="137">
        <v>42576</v>
      </c>
      <c r="E45" s="345" t="s">
        <v>699</v>
      </c>
      <c r="F45" t="s">
        <v>860</v>
      </c>
      <c r="G45" s="279" t="s">
        <v>861</v>
      </c>
    </row>
    <row r="46" spans="1:7" x14ac:dyDescent="0.25">
      <c r="A46" s="140">
        <v>45</v>
      </c>
      <c r="B46" t="s">
        <v>223</v>
      </c>
      <c r="C46" t="s">
        <v>224</v>
      </c>
      <c r="D46" s="137">
        <v>42576</v>
      </c>
      <c r="E46" s="345" t="s">
        <v>699</v>
      </c>
      <c r="F46" t="s">
        <v>862</v>
      </c>
      <c r="G46" s="279" t="s">
        <v>863</v>
      </c>
    </row>
    <row r="47" spans="1:7" x14ac:dyDescent="0.25">
      <c r="A47" s="140">
        <v>46</v>
      </c>
      <c r="B47" t="s">
        <v>281</v>
      </c>
      <c r="C47" t="s">
        <v>282</v>
      </c>
      <c r="D47" s="137">
        <v>42584</v>
      </c>
      <c r="E47" s="345" t="s">
        <v>864</v>
      </c>
      <c r="F47" t="s">
        <v>865</v>
      </c>
      <c r="G47" s="279" t="s">
        <v>866</v>
      </c>
    </row>
    <row r="48" spans="1:7" x14ac:dyDescent="0.25">
      <c r="A48" s="140">
        <v>47</v>
      </c>
      <c r="B48" t="s">
        <v>867</v>
      </c>
      <c r="C48" t="s">
        <v>868</v>
      </c>
      <c r="D48" s="137">
        <v>42584</v>
      </c>
      <c r="E48" s="345" t="s">
        <v>864</v>
      </c>
      <c r="F48" t="s">
        <v>869</v>
      </c>
      <c r="G48" s="583" t="s">
        <v>870</v>
      </c>
    </row>
    <row r="49" spans="1:7" x14ac:dyDescent="0.25">
      <c r="A49" s="140">
        <v>48</v>
      </c>
      <c r="B49" t="s">
        <v>107</v>
      </c>
      <c r="C49" t="s">
        <v>108</v>
      </c>
      <c r="D49" s="137">
        <v>42586</v>
      </c>
      <c r="E49" s="345" t="s">
        <v>699</v>
      </c>
      <c r="F49" t="s">
        <v>871</v>
      </c>
      <c r="G49" s="583" t="s">
        <v>872</v>
      </c>
    </row>
    <row r="50" spans="1:7" x14ac:dyDescent="0.25">
      <c r="A50" s="140">
        <v>49</v>
      </c>
      <c r="B50" t="s">
        <v>158</v>
      </c>
      <c r="C50" t="s">
        <v>159</v>
      </c>
      <c r="D50" s="137">
        <v>42586</v>
      </c>
      <c r="E50" s="345" t="s">
        <v>699</v>
      </c>
      <c r="F50" t="s">
        <v>873</v>
      </c>
      <c r="G50" s="583" t="s">
        <v>874</v>
      </c>
    </row>
    <row r="51" spans="1:7" x14ac:dyDescent="0.25">
      <c r="A51" s="140">
        <v>50</v>
      </c>
      <c r="B51" s="139" t="s">
        <v>875</v>
      </c>
      <c r="C51" s="139" t="s">
        <v>628</v>
      </c>
      <c r="D51" s="137">
        <v>42586</v>
      </c>
      <c r="E51" s="345" t="s">
        <v>702</v>
      </c>
      <c r="F51" t="s">
        <v>876</v>
      </c>
      <c r="G51" s="583" t="s">
        <v>877</v>
      </c>
    </row>
    <row r="52" spans="1:7" x14ac:dyDescent="0.25">
      <c r="A52" s="140">
        <v>51</v>
      </c>
      <c r="B52" t="s">
        <v>482</v>
      </c>
      <c r="C52" t="s">
        <v>483</v>
      </c>
      <c r="D52" s="137">
        <v>42586</v>
      </c>
      <c r="E52" s="345" t="s">
        <v>864</v>
      </c>
      <c r="F52" t="s">
        <v>878</v>
      </c>
      <c r="G52" s="583" t="s">
        <v>879</v>
      </c>
    </row>
    <row r="53" spans="1:7" x14ac:dyDescent="0.25">
      <c r="A53" s="140">
        <v>52</v>
      </c>
      <c r="B53" t="s">
        <v>285</v>
      </c>
      <c r="C53" t="s">
        <v>286</v>
      </c>
      <c r="D53" s="137">
        <v>42592</v>
      </c>
      <c r="E53" s="345" t="s">
        <v>864</v>
      </c>
      <c r="F53" t="s">
        <v>1138</v>
      </c>
      <c r="G53" s="583" t="s">
        <v>1139</v>
      </c>
    </row>
    <row r="54" spans="1:7" x14ac:dyDescent="0.25">
      <c r="A54" s="140">
        <v>53</v>
      </c>
      <c r="B54" t="s">
        <v>798</v>
      </c>
      <c r="C54" t="s">
        <v>799</v>
      </c>
      <c r="D54" s="137">
        <v>42599</v>
      </c>
      <c r="E54" s="345" t="s">
        <v>702</v>
      </c>
      <c r="F54" t="s">
        <v>1140</v>
      </c>
      <c r="G54" s="583" t="s">
        <v>1141</v>
      </c>
    </row>
    <row r="55" spans="1:7" x14ac:dyDescent="0.25">
      <c r="A55" s="140">
        <v>54</v>
      </c>
      <c r="B55" t="s">
        <v>429</v>
      </c>
      <c r="C55" t="s">
        <v>430</v>
      </c>
      <c r="D55" s="137">
        <v>42600</v>
      </c>
      <c r="E55" s="345" t="s">
        <v>864</v>
      </c>
      <c r="F55" t="s">
        <v>1142</v>
      </c>
      <c r="G55" s="582" t="s">
        <v>1143</v>
      </c>
    </row>
    <row r="56" spans="1:7" x14ac:dyDescent="0.25">
      <c r="A56" s="140">
        <v>55</v>
      </c>
      <c r="B56" t="s">
        <v>601</v>
      </c>
      <c r="C56" t="s">
        <v>602</v>
      </c>
      <c r="D56" s="137">
        <v>42613</v>
      </c>
      <c r="E56" s="345" t="s">
        <v>702</v>
      </c>
      <c r="F56" t="s">
        <v>1144</v>
      </c>
      <c r="G56" s="583" t="s">
        <v>1145</v>
      </c>
    </row>
    <row r="57" spans="1:7" x14ac:dyDescent="0.25">
      <c r="A57" s="140">
        <v>56</v>
      </c>
      <c r="B57" t="s">
        <v>292</v>
      </c>
      <c r="C57" t="s">
        <v>293</v>
      </c>
      <c r="D57" s="137">
        <v>42613</v>
      </c>
      <c r="E57" s="345" t="s">
        <v>699</v>
      </c>
      <c r="F57" t="s">
        <v>1146</v>
      </c>
      <c r="G57" s="583" t="s">
        <v>1147</v>
      </c>
    </row>
    <row r="58" spans="1:7" x14ac:dyDescent="0.25">
      <c r="A58" s="140">
        <v>57</v>
      </c>
      <c r="B58" t="s">
        <v>57</v>
      </c>
      <c r="C58" t="s">
        <v>58</v>
      </c>
      <c r="D58" s="137">
        <v>42614</v>
      </c>
      <c r="E58" s="345" t="s">
        <v>864</v>
      </c>
      <c r="F58" t="s">
        <v>1148</v>
      </c>
      <c r="G58" s="583" t="s">
        <v>1149</v>
      </c>
    </row>
    <row r="59" spans="1:7" x14ac:dyDescent="0.25">
      <c r="A59" s="140">
        <v>58</v>
      </c>
      <c r="B59" t="s">
        <v>249</v>
      </c>
      <c r="C59" t="s">
        <v>250</v>
      </c>
      <c r="D59" s="137">
        <v>42614</v>
      </c>
      <c r="E59" s="345" t="s">
        <v>864</v>
      </c>
      <c r="F59" t="s">
        <v>1150</v>
      </c>
      <c r="G59" s="583" t="s">
        <v>1151</v>
      </c>
    </row>
    <row r="60" spans="1:7" x14ac:dyDescent="0.25">
      <c r="A60" s="140">
        <v>59</v>
      </c>
      <c r="B60" t="s">
        <v>853</v>
      </c>
      <c r="C60" t="s">
        <v>854</v>
      </c>
      <c r="D60" s="137">
        <v>42620</v>
      </c>
      <c r="E60" s="345" t="s">
        <v>702</v>
      </c>
      <c r="F60" t="s">
        <v>1152</v>
      </c>
      <c r="G60" s="583" t="s">
        <v>1153</v>
      </c>
    </row>
    <row r="61" spans="1:7" x14ac:dyDescent="0.25">
      <c r="A61" s="140">
        <v>60</v>
      </c>
      <c r="B61" t="s">
        <v>255</v>
      </c>
      <c r="C61" t="s">
        <v>256</v>
      </c>
      <c r="D61" s="137">
        <v>42625</v>
      </c>
      <c r="E61" s="345" t="s">
        <v>699</v>
      </c>
      <c r="F61" t="s">
        <v>1154</v>
      </c>
      <c r="G61" s="279" t="s">
        <v>1155</v>
      </c>
    </row>
    <row r="62" spans="1:7" x14ac:dyDescent="0.25">
      <c r="A62" s="140">
        <v>61</v>
      </c>
      <c r="B62" t="s">
        <v>435</v>
      </c>
      <c r="C62" t="s">
        <v>436</v>
      </c>
      <c r="D62" s="137">
        <v>42625</v>
      </c>
      <c r="E62" s="345" t="s">
        <v>699</v>
      </c>
      <c r="F62" t="s">
        <v>1154</v>
      </c>
      <c r="G62" s="279" t="s">
        <v>723</v>
      </c>
    </row>
    <row r="63" spans="1:7" x14ac:dyDescent="0.25">
      <c r="A63" s="140">
        <v>62</v>
      </c>
      <c r="B63" t="s">
        <v>1156</v>
      </c>
      <c r="C63" t="s">
        <v>361</v>
      </c>
      <c r="D63" s="137">
        <v>42625</v>
      </c>
      <c r="E63" s="345" t="s">
        <v>699</v>
      </c>
      <c r="F63" t="s">
        <v>1154</v>
      </c>
      <c r="G63" s="279" t="s">
        <v>1157</v>
      </c>
    </row>
    <row r="64" spans="1:7" x14ac:dyDescent="0.25">
      <c r="A64" s="140">
        <v>63</v>
      </c>
      <c r="B64" t="s">
        <v>795</v>
      </c>
      <c r="C64" t="s">
        <v>1132</v>
      </c>
      <c r="D64" s="137">
        <v>42632</v>
      </c>
      <c r="E64" s="345" t="s">
        <v>702</v>
      </c>
      <c r="F64" t="s">
        <v>1158</v>
      </c>
      <c r="G64" s="279" t="s">
        <v>1159</v>
      </c>
    </row>
    <row r="65" spans="1:7" x14ac:dyDescent="0.25">
      <c r="A65" s="140">
        <v>64</v>
      </c>
      <c r="B65" t="s">
        <v>251</v>
      </c>
      <c r="C65" t="s">
        <v>252</v>
      </c>
      <c r="D65" s="137">
        <v>42632</v>
      </c>
      <c r="E65" s="345" t="s">
        <v>699</v>
      </c>
      <c r="F65" t="s">
        <v>1160</v>
      </c>
      <c r="G65" s="279" t="s">
        <v>1161</v>
      </c>
    </row>
    <row r="66" spans="1:7" x14ac:dyDescent="0.25">
      <c r="A66" s="140">
        <v>65</v>
      </c>
      <c r="B66" t="s">
        <v>1162</v>
      </c>
      <c r="C66" t="s">
        <v>82</v>
      </c>
      <c r="D66" s="137">
        <v>42633</v>
      </c>
      <c r="E66" s="345" t="s">
        <v>699</v>
      </c>
      <c r="F66" t="s">
        <v>1163</v>
      </c>
      <c r="G66" s="279" t="s">
        <v>1164</v>
      </c>
    </row>
    <row r="67" spans="1:7" x14ac:dyDescent="0.25">
      <c r="A67" s="140">
        <v>66</v>
      </c>
      <c r="B67" t="s">
        <v>1165</v>
      </c>
      <c r="C67" t="s">
        <v>248</v>
      </c>
      <c r="D67" s="137">
        <v>42634</v>
      </c>
      <c r="E67" s="345" t="s">
        <v>864</v>
      </c>
      <c r="F67" t="s">
        <v>1166</v>
      </c>
      <c r="G67" s="279" t="s">
        <v>1167</v>
      </c>
    </row>
    <row r="68" spans="1:7" x14ac:dyDescent="0.25">
      <c r="A68" s="140">
        <v>67</v>
      </c>
      <c r="B68" t="s">
        <v>1168</v>
      </c>
      <c r="C68" t="s">
        <v>130</v>
      </c>
      <c r="D68" s="137">
        <v>42634</v>
      </c>
      <c r="E68" s="345" t="s">
        <v>864</v>
      </c>
      <c r="F68" t="s">
        <v>1169</v>
      </c>
      <c r="G68" s="279" t="s">
        <v>1170</v>
      </c>
    </row>
    <row r="69" spans="1:7" x14ac:dyDescent="0.25">
      <c r="A69" s="140">
        <v>68</v>
      </c>
      <c r="B69" t="s">
        <v>1200</v>
      </c>
      <c r="C69" t="s">
        <v>396</v>
      </c>
      <c r="D69" s="137">
        <v>42635</v>
      </c>
      <c r="E69" s="345" t="s">
        <v>699</v>
      </c>
      <c r="F69" t="s">
        <v>1201</v>
      </c>
      <c r="G69" s="279" t="s">
        <v>1202</v>
      </c>
    </row>
    <row r="70" spans="1:7" x14ac:dyDescent="0.25">
      <c r="A70" s="140">
        <v>69</v>
      </c>
      <c r="B70" t="s">
        <v>184</v>
      </c>
      <c r="C70" t="s">
        <v>185</v>
      </c>
      <c r="D70" s="137">
        <v>42635</v>
      </c>
      <c r="E70" s="345" t="s">
        <v>699</v>
      </c>
      <c r="F70" t="s">
        <v>1203</v>
      </c>
      <c r="G70" s="279" t="s">
        <v>1204</v>
      </c>
    </row>
    <row r="71" spans="1:7" x14ac:dyDescent="0.25">
      <c r="A71" s="140">
        <v>70</v>
      </c>
      <c r="B71" t="s">
        <v>1176</v>
      </c>
      <c r="C71" t="s">
        <v>1177</v>
      </c>
      <c r="D71" s="137">
        <v>42640</v>
      </c>
      <c r="E71" s="345" t="s">
        <v>702</v>
      </c>
      <c r="F71" t="s">
        <v>1205</v>
      </c>
      <c r="G71" s="279" t="s">
        <v>1206</v>
      </c>
    </row>
    <row r="72" spans="1:7" x14ac:dyDescent="0.25">
      <c r="A72" s="140">
        <v>71</v>
      </c>
      <c r="B72" t="s">
        <v>1207</v>
      </c>
      <c r="C72" t="s">
        <v>454</v>
      </c>
      <c r="D72" s="137">
        <v>42642</v>
      </c>
      <c r="E72" s="345" t="s">
        <v>864</v>
      </c>
      <c r="F72" t="s">
        <v>1208</v>
      </c>
      <c r="G72" s="279" t="s">
        <v>1209</v>
      </c>
    </row>
    <row r="73" spans="1:7" x14ac:dyDescent="0.25">
      <c r="A73" s="140">
        <v>72</v>
      </c>
      <c r="B73" t="s">
        <v>1210</v>
      </c>
      <c r="C73" t="s">
        <v>1211</v>
      </c>
      <c r="D73" s="137">
        <v>42656</v>
      </c>
      <c r="E73" s="345" t="s">
        <v>702</v>
      </c>
      <c r="F73" t="s">
        <v>1212</v>
      </c>
      <c r="G73" s="279" t="s">
        <v>1213</v>
      </c>
    </row>
    <row r="74" spans="1:7" x14ac:dyDescent="0.25">
      <c r="A74" s="140">
        <v>73</v>
      </c>
      <c r="B74" t="s">
        <v>1214</v>
      </c>
      <c r="C74" t="s">
        <v>1215</v>
      </c>
      <c r="D74" s="137">
        <v>42656</v>
      </c>
      <c r="E74" s="345" t="s">
        <v>702</v>
      </c>
      <c r="F74" t="s">
        <v>1216</v>
      </c>
      <c r="G74" s="279" t="s">
        <v>1217</v>
      </c>
    </row>
    <row r="75" spans="1:7" x14ac:dyDescent="0.25">
      <c r="A75" s="140">
        <v>74</v>
      </c>
      <c r="B75" t="s">
        <v>1178</v>
      </c>
      <c r="C75" t="s">
        <v>642</v>
      </c>
      <c r="D75" s="137">
        <v>42663</v>
      </c>
      <c r="E75" s="345" t="s">
        <v>702</v>
      </c>
      <c r="F75" t="s">
        <v>1218</v>
      </c>
      <c r="G75" s="279" t="s">
        <v>1219</v>
      </c>
    </row>
    <row r="76" spans="1:7" x14ac:dyDescent="0.25">
      <c r="A76" s="140">
        <v>75</v>
      </c>
      <c r="B76" t="s">
        <v>95</v>
      </c>
      <c r="C76" t="s">
        <v>96</v>
      </c>
      <c r="D76" s="137">
        <v>42663</v>
      </c>
      <c r="E76" s="345" t="s">
        <v>699</v>
      </c>
      <c r="F76" t="s">
        <v>1220</v>
      </c>
      <c r="G76" s="279" t="s">
        <v>1221</v>
      </c>
    </row>
    <row r="77" spans="1:7" x14ac:dyDescent="0.25">
      <c r="A77" s="140">
        <v>76</v>
      </c>
      <c r="B77" s="217" t="s">
        <v>1231</v>
      </c>
      <c r="C77" s="217" t="s">
        <v>657</v>
      </c>
      <c r="D77" s="218" t="s">
        <v>1232</v>
      </c>
      <c r="E77" s="338" t="s">
        <v>699</v>
      </c>
      <c r="F77" s="217" t="s">
        <v>1233</v>
      </c>
      <c r="G77" s="584" t="s">
        <v>1234</v>
      </c>
    </row>
    <row r="78" spans="1:7" x14ac:dyDescent="0.25">
      <c r="A78" s="140">
        <v>77</v>
      </c>
      <c r="B78" t="s">
        <v>429</v>
      </c>
      <c r="C78" t="s">
        <v>430</v>
      </c>
      <c r="D78" s="137">
        <v>42696</v>
      </c>
      <c r="E78" s="345" t="s">
        <v>702</v>
      </c>
      <c r="F78" t="s">
        <v>1269</v>
      </c>
      <c r="G78" s="585" t="s">
        <v>1143</v>
      </c>
    </row>
    <row r="79" spans="1:7" x14ac:dyDescent="0.25">
      <c r="A79" s="140">
        <v>78</v>
      </c>
      <c r="B79" s="217" t="s">
        <v>1267</v>
      </c>
      <c r="C79" s="217" t="s">
        <v>1268</v>
      </c>
      <c r="D79" s="218" t="s">
        <v>1270</v>
      </c>
      <c r="E79" s="338" t="s">
        <v>702</v>
      </c>
      <c r="F79" s="217" t="s">
        <v>1271</v>
      </c>
      <c r="G79" s="585" t="s">
        <v>1272</v>
      </c>
    </row>
    <row r="80" spans="1:7" x14ac:dyDescent="0.25">
      <c r="A80" s="140">
        <v>79</v>
      </c>
      <c r="B80" s="217" t="s">
        <v>277</v>
      </c>
      <c r="C80" s="217" t="s">
        <v>278</v>
      </c>
      <c r="D80" s="218" t="s">
        <v>1273</v>
      </c>
      <c r="E80" s="338" t="s">
        <v>864</v>
      </c>
      <c r="F80" s="217" t="s">
        <v>1274</v>
      </c>
      <c r="G80" s="585" t="s">
        <v>1275</v>
      </c>
    </row>
    <row r="81" spans="1:7" x14ac:dyDescent="0.25">
      <c r="A81" s="140">
        <v>80</v>
      </c>
      <c r="B81" s="217" t="s">
        <v>431</v>
      </c>
      <c r="C81" s="217" t="s">
        <v>432</v>
      </c>
      <c r="D81" s="218" t="s">
        <v>1279</v>
      </c>
      <c r="E81" s="338" t="s">
        <v>699</v>
      </c>
      <c r="F81" s="217" t="s">
        <v>1280</v>
      </c>
      <c r="G81" s="585" t="s">
        <v>1281</v>
      </c>
    </row>
    <row r="82" spans="1:7" x14ac:dyDescent="0.25">
      <c r="A82" s="140">
        <v>81</v>
      </c>
      <c r="B82" s="217" t="s">
        <v>1282</v>
      </c>
      <c r="C82" s="217" t="s">
        <v>1283</v>
      </c>
      <c r="D82" s="218" t="s">
        <v>1284</v>
      </c>
      <c r="E82" s="338" t="s">
        <v>702</v>
      </c>
      <c r="F82" s="217" t="s">
        <v>1285</v>
      </c>
      <c r="G82" s="585" t="s">
        <v>1286</v>
      </c>
    </row>
    <row r="83" spans="1:7" x14ac:dyDescent="0.25">
      <c r="A83" s="140">
        <v>82</v>
      </c>
      <c r="B83" s="217" t="s">
        <v>415</v>
      </c>
      <c r="C83" s="217" t="s">
        <v>416</v>
      </c>
      <c r="D83" s="218" t="s">
        <v>1287</v>
      </c>
      <c r="E83" s="338" t="s">
        <v>699</v>
      </c>
      <c r="F83" s="217" t="s">
        <v>1288</v>
      </c>
      <c r="G83" s="584" t="s">
        <v>1289</v>
      </c>
    </row>
    <row r="84" spans="1:7" x14ac:dyDescent="0.25">
      <c r="A84" s="140">
        <v>83</v>
      </c>
      <c r="B84" s="337" t="s">
        <v>203</v>
      </c>
      <c r="C84" s="339" t="s">
        <v>204</v>
      </c>
      <c r="D84" s="218" t="s">
        <v>1356</v>
      </c>
      <c r="E84" s="338" t="s">
        <v>699</v>
      </c>
      <c r="F84" s="217" t="s">
        <v>1357</v>
      </c>
      <c r="G84" s="584" t="s">
        <v>1358</v>
      </c>
    </row>
    <row r="85" spans="1:7" x14ac:dyDescent="0.25">
      <c r="A85" s="140">
        <v>84</v>
      </c>
      <c r="B85" s="217" t="s">
        <v>360</v>
      </c>
      <c r="C85" s="339" t="s">
        <v>361</v>
      </c>
      <c r="D85" s="218" t="s">
        <v>1356</v>
      </c>
      <c r="E85" s="338" t="s">
        <v>699</v>
      </c>
      <c r="F85" s="217" t="s">
        <v>1359</v>
      </c>
      <c r="G85" s="585" t="s">
        <v>1360</v>
      </c>
    </row>
    <row r="86" spans="1:7" x14ac:dyDescent="0.25">
      <c r="A86" s="140">
        <v>85</v>
      </c>
      <c r="B86" s="217" t="s">
        <v>798</v>
      </c>
      <c r="C86" s="339" t="s">
        <v>799</v>
      </c>
      <c r="D86" s="218" t="s">
        <v>1361</v>
      </c>
      <c r="E86" s="338" t="s">
        <v>699</v>
      </c>
      <c r="F86" s="217" t="s">
        <v>1362</v>
      </c>
      <c r="G86" s="585" t="s">
        <v>1141</v>
      </c>
    </row>
    <row r="87" spans="1:7" x14ac:dyDescent="0.25">
      <c r="A87" s="140">
        <v>86</v>
      </c>
      <c r="B87" s="217" t="s">
        <v>1363</v>
      </c>
      <c r="C87" s="339" t="s">
        <v>1364</v>
      </c>
      <c r="D87" s="218" t="s">
        <v>1365</v>
      </c>
      <c r="E87" s="338" t="s">
        <v>864</v>
      </c>
      <c r="F87" s="217" t="s">
        <v>1366</v>
      </c>
      <c r="G87" s="585" t="s">
        <v>1367</v>
      </c>
    </row>
    <row r="88" spans="1:7" x14ac:dyDescent="0.25">
      <c r="A88" s="140">
        <v>87</v>
      </c>
      <c r="B88" s="217" t="s">
        <v>374</v>
      </c>
      <c r="C88" s="339" t="s">
        <v>375</v>
      </c>
      <c r="D88" s="218" t="s">
        <v>1368</v>
      </c>
      <c r="E88" s="338" t="s">
        <v>699</v>
      </c>
      <c r="F88" s="217" t="s">
        <v>1369</v>
      </c>
      <c r="G88" s="585" t="s">
        <v>1370</v>
      </c>
    </row>
    <row r="89" spans="1:7" x14ac:dyDescent="0.25">
      <c r="A89" s="140">
        <v>88</v>
      </c>
      <c r="B89" s="217" t="s">
        <v>574</v>
      </c>
      <c r="C89" s="339" t="s">
        <v>72</v>
      </c>
      <c r="D89" s="218" t="s">
        <v>1371</v>
      </c>
      <c r="E89" s="338" t="s">
        <v>699</v>
      </c>
      <c r="F89" s="217" t="s">
        <v>1372</v>
      </c>
      <c r="G89" s="585" t="s">
        <v>1373</v>
      </c>
    </row>
    <row r="90" spans="1:7" x14ac:dyDescent="0.25">
      <c r="A90" s="140">
        <v>89</v>
      </c>
      <c r="B90" s="217" t="s">
        <v>420</v>
      </c>
      <c r="C90" s="339" t="s">
        <v>421</v>
      </c>
      <c r="D90" s="218" t="s">
        <v>1371</v>
      </c>
      <c r="E90" s="338" t="s">
        <v>699</v>
      </c>
      <c r="F90" s="217" t="s">
        <v>1374</v>
      </c>
      <c r="G90" s="585" t="s">
        <v>1375</v>
      </c>
    </row>
    <row r="91" spans="1:7" x14ac:dyDescent="0.25">
      <c r="A91" s="140">
        <v>90</v>
      </c>
      <c r="B91" s="217" t="s">
        <v>366</v>
      </c>
      <c r="C91" s="339" t="s">
        <v>367</v>
      </c>
      <c r="D91" s="218" t="s">
        <v>1371</v>
      </c>
      <c r="E91" s="338" t="s">
        <v>699</v>
      </c>
      <c r="F91" s="217" t="s">
        <v>1376</v>
      </c>
      <c r="G91" s="585" t="s">
        <v>748</v>
      </c>
    </row>
    <row r="92" spans="1:7" x14ac:dyDescent="0.25">
      <c r="A92" s="140">
        <v>91</v>
      </c>
      <c r="B92" s="217" t="s">
        <v>429</v>
      </c>
      <c r="C92" s="340" t="s">
        <v>430</v>
      </c>
      <c r="D92" s="218" t="s">
        <v>1386</v>
      </c>
      <c r="E92" s="338" t="s">
        <v>699</v>
      </c>
      <c r="F92" s="217" t="s">
        <v>1387</v>
      </c>
      <c r="G92" s="585" t="s">
        <v>1400</v>
      </c>
    </row>
    <row r="93" spans="1:7" x14ac:dyDescent="0.25">
      <c r="A93" s="140">
        <v>92</v>
      </c>
      <c r="B93" s="217" t="s">
        <v>1388</v>
      </c>
      <c r="C93" s="340" t="s">
        <v>1389</v>
      </c>
      <c r="D93" s="218" t="s">
        <v>1390</v>
      </c>
      <c r="E93" s="341" t="s">
        <v>702</v>
      </c>
      <c r="F93" s="217" t="s">
        <v>1391</v>
      </c>
      <c r="G93" s="585" t="s">
        <v>1143</v>
      </c>
    </row>
    <row r="94" spans="1:7" x14ac:dyDescent="0.25">
      <c r="A94" s="140">
        <v>93</v>
      </c>
      <c r="B94" s="217" t="s">
        <v>627</v>
      </c>
      <c r="C94" s="342" t="s">
        <v>628</v>
      </c>
      <c r="D94" s="343">
        <v>42780</v>
      </c>
      <c r="E94" s="338" t="s">
        <v>699</v>
      </c>
      <c r="F94" s="344" t="s">
        <v>1392</v>
      </c>
      <c r="G94" s="585" t="s">
        <v>1401</v>
      </c>
    </row>
    <row r="95" spans="1:7" x14ac:dyDescent="0.25">
      <c r="A95" s="140">
        <v>94</v>
      </c>
      <c r="B95" s="217" t="s">
        <v>1380</v>
      </c>
      <c r="C95" s="342" t="s">
        <v>1381</v>
      </c>
      <c r="D95" s="343">
        <v>42780</v>
      </c>
      <c r="E95" s="341" t="s">
        <v>702</v>
      </c>
      <c r="F95" s="217" t="s">
        <v>1393</v>
      </c>
      <c r="G95" s="585" t="s">
        <v>1402</v>
      </c>
    </row>
    <row r="96" spans="1:7" x14ac:dyDescent="0.25">
      <c r="A96" s="140">
        <v>95</v>
      </c>
      <c r="B96" s="217" t="s">
        <v>304</v>
      </c>
      <c r="C96" s="342" t="s">
        <v>581</v>
      </c>
      <c r="D96" s="343">
        <v>42789</v>
      </c>
      <c r="E96" s="345" t="s">
        <v>699</v>
      </c>
      <c r="F96" s="217" t="s">
        <v>1394</v>
      </c>
      <c r="G96" s="585" t="s">
        <v>1403</v>
      </c>
    </row>
    <row r="97" spans="1:7" x14ac:dyDescent="0.25">
      <c r="A97" s="140">
        <v>96</v>
      </c>
      <c r="B97" s="217" t="s">
        <v>223</v>
      </c>
      <c r="C97" s="342" t="s">
        <v>224</v>
      </c>
      <c r="D97" s="343">
        <v>42789</v>
      </c>
      <c r="E97" s="345" t="s">
        <v>699</v>
      </c>
      <c r="F97" s="344" t="s">
        <v>1395</v>
      </c>
      <c r="G97" s="585" t="s">
        <v>1404</v>
      </c>
    </row>
    <row r="98" spans="1:7" x14ac:dyDescent="0.25">
      <c r="A98" s="140">
        <v>97</v>
      </c>
      <c r="B98" s="217" t="s">
        <v>1385</v>
      </c>
      <c r="C98" s="340" t="s">
        <v>430</v>
      </c>
      <c r="D98" s="218" t="s">
        <v>1396</v>
      </c>
      <c r="E98" s="338" t="s">
        <v>699</v>
      </c>
      <c r="F98" s="217" t="s">
        <v>1397</v>
      </c>
      <c r="G98" s="585" t="s">
        <v>1400</v>
      </c>
    </row>
    <row r="99" spans="1:7" x14ac:dyDescent="0.25">
      <c r="A99" s="140">
        <v>98</v>
      </c>
      <c r="B99" s="217" t="s">
        <v>164</v>
      </c>
      <c r="C99" s="342" t="s">
        <v>165</v>
      </c>
      <c r="D99" s="137">
        <v>42794</v>
      </c>
      <c r="E99" s="345" t="s">
        <v>699</v>
      </c>
      <c r="F99" s="217" t="s">
        <v>1398</v>
      </c>
      <c r="G99" s="585" t="s">
        <v>1405</v>
      </c>
    </row>
    <row r="100" spans="1:7" x14ac:dyDescent="0.25">
      <c r="A100" s="140">
        <v>99</v>
      </c>
      <c r="B100" s="217" t="s">
        <v>433</v>
      </c>
      <c r="C100" s="342" t="s">
        <v>434</v>
      </c>
      <c r="D100" s="137">
        <v>42795</v>
      </c>
      <c r="E100" s="345" t="s">
        <v>699</v>
      </c>
      <c r="F100" s="344" t="s">
        <v>1399</v>
      </c>
      <c r="G100" s="585" t="s">
        <v>1406</v>
      </c>
    </row>
    <row r="101" spans="1:7" x14ac:dyDescent="0.25">
      <c r="A101" s="140">
        <v>100</v>
      </c>
      <c r="B101" s="217" t="s">
        <v>1412</v>
      </c>
      <c r="C101" s="342" t="s">
        <v>1413</v>
      </c>
      <c r="D101" s="137">
        <v>42808</v>
      </c>
      <c r="E101" s="341" t="s">
        <v>702</v>
      </c>
      <c r="F101" s="217" t="s">
        <v>1414</v>
      </c>
      <c r="G101" s="585" t="s">
        <v>1416</v>
      </c>
    </row>
    <row r="102" spans="1:7" x14ac:dyDescent="0.25">
      <c r="A102" s="140">
        <v>101</v>
      </c>
      <c r="B102" s="217" t="s">
        <v>1410</v>
      </c>
      <c r="C102" s="342" t="s">
        <v>1411</v>
      </c>
      <c r="D102" s="137">
        <v>42828</v>
      </c>
      <c r="E102" s="341" t="s">
        <v>702</v>
      </c>
      <c r="F102" s="217" t="s">
        <v>1415</v>
      </c>
      <c r="G102" s="585" t="s">
        <v>1417</v>
      </c>
    </row>
    <row r="103" spans="1:7" x14ac:dyDescent="0.25">
      <c r="A103" s="552">
        <v>102</v>
      </c>
      <c r="B103" s="553" t="s">
        <v>53</v>
      </c>
      <c r="C103" s="554" t="s">
        <v>54</v>
      </c>
      <c r="D103" s="555">
        <v>42837</v>
      </c>
      <c r="E103" s="556" t="s">
        <v>699</v>
      </c>
      <c r="F103" s="553" t="s">
        <v>1914</v>
      </c>
      <c r="G103" s="586" t="s">
        <v>1978</v>
      </c>
    </row>
    <row r="104" spans="1:7" x14ac:dyDescent="0.25">
      <c r="A104" s="552">
        <v>103</v>
      </c>
      <c r="B104" s="553" t="s">
        <v>1915</v>
      </c>
      <c r="C104" s="554" t="s">
        <v>1916</v>
      </c>
      <c r="D104" s="555">
        <v>42837</v>
      </c>
      <c r="E104" s="556" t="s">
        <v>864</v>
      </c>
      <c r="F104" s="344" t="s">
        <v>1917</v>
      </c>
      <c r="G104" s="586" t="s">
        <v>1979</v>
      </c>
    </row>
    <row r="105" spans="1:7" x14ac:dyDescent="0.25">
      <c r="A105" s="552">
        <v>104</v>
      </c>
      <c r="B105" s="553" t="s">
        <v>415</v>
      </c>
      <c r="C105" s="557" t="s">
        <v>416</v>
      </c>
      <c r="D105" s="558" t="s">
        <v>1287</v>
      </c>
      <c r="E105" s="559" t="s">
        <v>699</v>
      </c>
      <c r="F105" s="553" t="s">
        <v>1918</v>
      </c>
      <c r="G105" s="587" t="s">
        <v>1289</v>
      </c>
    </row>
    <row r="106" spans="1:7" x14ac:dyDescent="0.25">
      <c r="A106" s="552">
        <v>105</v>
      </c>
      <c r="B106" s="553" t="s">
        <v>1919</v>
      </c>
      <c r="C106" s="554" t="s">
        <v>1920</v>
      </c>
      <c r="D106" s="555">
        <v>42852</v>
      </c>
      <c r="E106" s="556" t="s">
        <v>864</v>
      </c>
      <c r="F106" s="344" t="s">
        <v>1921</v>
      </c>
      <c r="G106" s="586" t="s">
        <v>1980</v>
      </c>
    </row>
    <row r="107" spans="1:7" x14ac:dyDescent="0.25">
      <c r="A107" s="552">
        <v>106</v>
      </c>
      <c r="B107" s="553" t="s">
        <v>1922</v>
      </c>
      <c r="C107" s="554" t="s">
        <v>1635</v>
      </c>
      <c r="D107" s="555">
        <v>42879</v>
      </c>
      <c r="E107" s="560" t="s">
        <v>702</v>
      </c>
      <c r="F107" s="553" t="s">
        <v>1923</v>
      </c>
      <c r="G107" s="586" t="s">
        <v>1981</v>
      </c>
    </row>
    <row r="108" spans="1:7" x14ac:dyDescent="0.25">
      <c r="A108" s="552">
        <v>107</v>
      </c>
      <c r="B108" s="553" t="s">
        <v>1678</v>
      </c>
      <c r="C108" s="554" t="s">
        <v>1679</v>
      </c>
      <c r="D108" s="555">
        <v>42879</v>
      </c>
      <c r="E108" s="560" t="s">
        <v>702</v>
      </c>
      <c r="F108" s="344" t="s">
        <v>1924</v>
      </c>
      <c r="G108" s="586" t="s">
        <v>1982</v>
      </c>
    </row>
    <row r="109" spans="1:7" x14ac:dyDescent="0.25">
      <c r="A109" s="552">
        <v>108</v>
      </c>
      <c r="B109" s="553" t="s">
        <v>244</v>
      </c>
      <c r="C109" s="554" t="s">
        <v>245</v>
      </c>
      <c r="D109" s="555">
        <v>42885</v>
      </c>
      <c r="E109" s="556" t="s">
        <v>699</v>
      </c>
      <c r="F109" s="553" t="s">
        <v>1925</v>
      </c>
      <c r="G109" s="586" t="s">
        <v>1983</v>
      </c>
    </row>
    <row r="110" spans="1:7" x14ac:dyDescent="0.25">
      <c r="A110" s="552">
        <v>109</v>
      </c>
      <c r="B110" s="553" t="s">
        <v>1176</v>
      </c>
      <c r="C110" s="554" t="s">
        <v>1177</v>
      </c>
      <c r="D110" s="555">
        <v>42893</v>
      </c>
      <c r="E110" s="556" t="s">
        <v>699</v>
      </c>
      <c r="F110" s="344" t="s">
        <v>1926</v>
      </c>
      <c r="G110" s="586" t="s">
        <v>1984</v>
      </c>
    </row>
    <row r="111" spans="1:7" x14ac:dyDescent="0.25">
      <c r="A111" s="552">
        <v>110</v>
      </c>
      <c r="B111" s="553" t="s">
        <v>431</v>
      </c>
      <c r="C111" s="554" t="s">
        <v>432</v>
      </c>
      <c r="D111" s="555">
        <v>42920</v>
      </c>
      <c r="E111" s="556" t="s">
        <v>699</v>
      </c>
      <c r="F111" s="553" t="s">
        <v>1927</v>
      </c>
      <c r="G111" s="586" t="s">
        <v>1985</v>
      </c>
    </row>
    <row r="112" spans="1:7" x14ac:dyDescent="0.25">
      <c r="A112" s="552">
        <v>111</v>
      </c>
      <c r="B112" s="553" t="s">
        <v>296</v>
      </c>
      <c r="C112" s="554" t="s">
        <v>297</v>
      </c>
      <c r="D112" s="555">
        <v>42920</v>
      </c>
      <c r="E112" s="556" t="s">
        <v>699</v>
      </c>
      <c r="F112" s="344" t="s">
        <v>1928</v>
      </c>
      <c r="G112" s="586" t="s">
        <v>1986</v>
      </c>
    </row>
    <row r="113" spans="1:7" x14ac:dyDescent="0.25">
      <c r="A113" s="552">
        <v>112</v>
      </c>
      <c r="B113" s="553" t="s">
        <v>1929</v>
      </c>
      <c r="C113" s="554" t="s">
        <v>1930</v>
      </c>
      <c r="D113" s="555">
        <v>42927</v>
      </c>
      <c r="E113" s="556" t="s">
        <v>864</v>
      </c>
      <c r="F113" s="553" t="s">
        <v>1931</v>
      </c>
      <c r="G113" s="586" t="s">
        <v>1987</v>
      </c>
    </row>
    <row r="114" spans="1:7" x14ac:dyDescent="0.25">
      <c r="A114" s="552">
        <v>113</v>
      </c>
      <c r="B114" s="553" t="s">
        <v>1932</v>
      </c>
      <c r="C114" s="554" t="s">
        <v>1933</v>
      </c>
      <c r="D114" s="555">
        <v>42927</v>
      </c>
      <c r="E114" s="556" t="s">
        <v>864</v>
      </c>
      <c r="F114" s="553" t="s">
        <v>1934</v>
      </c>
      <c r="G114" s="586" t="s">
        <v>1988</v>
      </c>
    </row>
    <row r="115" spans="1:7" x14ac:dyDescent="0.25">
      <c r="A115" s="552">
        <v>114</v>
      </c>
      <c r="B115" s="553" t="s">
        <v>1935</v>
      </c>
      <c r="C115" s="554" t="s">
        <v>489</v>
      </c>
      <c r="D115" s="555">
        <v>42927</v>
      </c>
      <c r="E115" s="556" t="s">
        <v>864</v>
      </c>
      <c r="F115" s="553" t="s">
        <v>1936</v>
      </c>
      <c r="G115" s="586" t="s">
        <v>1989</v>
      </c>
    </row>
    <row r="116" spans="1:7" x14ac:dyDescent="0.25">
      <c r="A116" s="552">
        <v>115</v>
      </c>
      <c r="B116" s="553" t="s">
        <v>1937</v>
      </c>
      <c r="C116" s="554" t="s">
        <v>1938</v>
      </c>
      <c r="D116" s="555">
        <v>42928</v>
      </c>
      <c r="E116" s="556" t="s">
        <v>864</v>
      </c>
      <c r="F116" s="553" t="s">
        <v>1939</v>
      </c>
      <c r="G116" s="586" t="s">
        <v>1990</v>
      </c>
    </row>
    <row r="117" spans="1:7" x14ac:dyDescent="0.25">
      <c r="A117" s="552">
        <v>116</v>
      </c>
      <c r="B117" s="553" t="s">
        <v>1842</v>
      </c>
      <c r="C117" s="554" t="s">
        <v>1843</v>
      </c>
      <c r="D117" s="555">
        <v>42929</v>
      </c>
      <c r="E117" s="560" t="s">
        <v>702</v>
      </c>
      <c r="F117" s="553" t="s">
        <v>1940</v>
      </c>
      <c r="G117" s="586" t="s">
        <v>1991</v>
      </c>
    </row>
    <row r="118" spans="1:7" x14ac:dyDescent="0.25">
      <c r="A118" s="552">
        <v>117</v>
      </c>
      <c r="B118" s="553" t="s">
        <v>1941</v>
      </c>
      <c r="C118" s="554" t="s">
        <v>1942</v>
      </c>
      <c r="D118" s="555">
        <v>42947</v>
      </c>
      <c r="E118" s="556" t="s">
        <v>864</v>
      </c>
      <c r="F118" s="553" t="s">
        <v>1943</v>
      </c>
      <c r="G118" s="586" t="s">
        <v>1992</v>
      </c>
    </row>
    <row r="119" spans="1:7" x14ac:dyDescent="0.25">
      <c r="A119" s="552">
        <v>118</v>
      </c>
      <c r="B119" s="553" t="s">
        <v>1944</v>
      </c>
      <c r="C119" s="554"/>
      <c r="D119" s="555">
        <v>42954</v>
      </c>
      <c r="E119" s="556" t="s">
        <v>699</v>
      </c>
      <c r="F119" s="553" t="s">
        <v>1945</v>
      </c>
      <c r="G119" s="586" t="s">
        <v>1993</v>
      </c>
    </row>
    <row r="120" spans="1:7" x14ac:dyDescent="0.25">
      <c r="A120" s="552">
        <v>119</v>
      </c>
      <c r="B120" s="561" t="s">
        <v>470</v>
      </c>
      <c r="C120" s="554" t="s">
        <v>471</v>
      </c>
      <c r="D120" s="555">
        <v>42961</v>
      </c>
      <c r="E120" s="556" t="s">
        <v>699</v>
      </c>
      <c r="F120" s="553" t="s">
        <v>1946</v>
      </c>
      <c r="G120" s="586" t="s">
        <v>1994</v>
      </c>
    </row>
    <row r="121" spans="1:7" x14ac:dyDescent="0.25">
      <c r="A121" s="552">
        <v>120</v>
      </c>
      <c r="B121" s="561" t="s">
        <v>1947</v>
      </c>
      <c r="C121" s="554" t="s">
        <v>1948</v>
      </c>
      <c r="D121" s="555">
        <v>42975</v>
      </c>
      <c r="E121" s="556" t="s">
        <v>864</v>
      </c>
      <c r="F121" s="553" t="s">
        <v>1949</v>
      </c>
      <c r="G121" s="564"/>
    </row>
    <row r="122" spans="1:7" x14ac:dyDescent="0.25">
      <c r="A122" s="552">
        <v>121</v>
      </c>
      <c r="B122" s="561" t="s">
        <v>1950</v>
      </c>
      <c r="C122" s="554" t="s">
        <v>1951</v>
      </c>
      <c r="D122" s="555">
        <v>42975</v>
      </c>
      <c r="E122" s="556" t="s">
        <v>864</v>
      </c>
      <c r="F122" s="553" t="s">
        <v>1949</v>
      </c>
      <c r="G122" s="564"/>
    </row>
    <row r="123" spans="1:7" x14ac:dyDescent="0.25">
      <c r="A123" s="552">
        <v>122</v>
      </c>
      <c r="B123" s="141" t="s">
        <v>1952</v>
      </c>
      <c r="C123" s="554" t="s">
        <v>1953</v>
      </c>
      <c r="D123" s="555">
        <v>42975</v>
      </c>
      <c r="E123" s="556" t="s">
        <v>864</v>
      </c>
      <c r="F123" s="562" t="s">
        <v>1949</v>
      </c>
      <c r="G123" s="563"/>
    </row>
    <row r="124" spans="1:7" x14ac:dyDescent="0.25">
      <c r="A124" s="552">
        <v>123</v>
      </c>
      <c r="B124" s="561" t="s">
        <v>1876</v>
      </c>
      <c r="C124" s="554" t="s">
        <v>1877</v>
      </c>
      <c r="D124" s="555">
        <v>42999</v>
      </c>
      <c r="E124" s="560" t="s">
        <v>702</v>
      </c>
      <c r="F124" s="562" t="s">
        <v>1954</v>
      </c>
      <c r="G124" s="579" t="s">
        <v>1995</v>
      </c>
    </row>
    <row r="125" spans="1:7" x14ac:dyDescent="0.25">
      <c r="A125" s="563">
        <v>124</v>
      </c>
      <c r="B125" s="564" t="s">
        <v>279</v>
      </c>
      <c r="C125" s="556" t="s">
        <v>280</v>
      </c>
      <c r="D125" s="565">
        <v>43007</v>
      </c>
      <c r="E125" s="556" t="s">
        <v>699</v>
      </c>
      <c r="F125" s="566" t="s">
        <v>1955</v>
      </c>
      <c r="G125" s="579" t="s">
        <v>1996</v>
      </c>
    </row>
    <row r="126" spans="1:7" x14ac:dyDescent="0.25">
      <c r="A126" s="566">
        <v>125</v>
      </c>
      <c r="B126" s="561" t="s">
        <v>1956</v>
      </c>
      <c r="C126" s="554" t="s">
        <v>1880</v>
      </c>
      <c r="D126" s="555">
        <v>43011</v>
      </c>
      <c r="E126" s="560" t="s">
        <v>702</v>
      </c>
      <c r="F126" s="562" t="s">
        <v>1957</v>
      </c>
      <c r="G126" s="563" t="s">
        <v>1997</v>
      </c>
    </row>
    <row r="127" spans="1:7" x14ac:dyDescent="0.25">
      <c r="A127" s="566">
        <v>126</v>
      </c>
      <c r="B127" s="567" t="s">
        <v>217</v>
      </c>
      <c r="C127" s="554" t="s">
        <v>218</v>
      </c>
      <c r="D127" s="555">
        <v>43017</v>
      </c>
      <c r="E127" s="556" t="s">
        <v>699</v>
      </c>
      <c r="F127" s="562" t="s">
        <v>1958</v>
      </c>
      <c r="G127" s="579" t="s">
        <v>1998</v>
      </c>
    </row>
    <row r="128" spans="1:7" x14ac:dyDescent="0.25">
      <c r="A128" s="566">
        <v>127</v>
      </c>
      <c r="B128" s="563" t="s">
        <v>77</v>
      </c>
      <c r="C128" s="568" t="s">
        <v>78</v>
      </c>
      <c r="D128" s="555">
        <v>43018</v>
      </c>
      <c r="E128" s="556" t="s">
        <v>699</v>
      </c>
      <c r="F128" s="566" t="s">
        <v>1959</v>
      </c>
      <c r="G128" s="563"/>
    </row>
    <row r="129" spans="1:7" x14ac:dyDescent="0.25">
      <c r="A129" s="566">
        <v>128</v>
      </c>
      <c r="B129" s="563" t="s">
        <v>1894</v>
      </c>
      <c r="C129" s="554" t="s">
        <v>1895</v>
      </c>
      <c r="D129" s="569">
        <v>43019</v>
      </c>
      <c r="E129" s="560" t="s">
        <v>702</v>
      </c>
      <c r="F129" s="566" t="s">
        <v>1960</v>
      </c>
      <c r="G129" s="579" t="s">
        <v>1999</v>
      </c>
    </row>
    <row r="130" spans="1:7" x14ac:dyDescent="0.25">
      <c r="A130" s="552">
        <v>129</v>
      </c>
      <c r="B130" s="570" t="s">
        <v>1961</v>
      </c>
      <c r="C130" s="554" t="s">
        <v>1962</v>
      </c>
      <c r="D130" s="569">
        <v>43025</v>
      </c>
      <c r="E130" s="556" t="s">
        <v>864</v>
      </c>
      <c r="F130" s="566" t="s">
        <v>1963</v>
      </c>
      <c r="G130" s="579" t="s">
        <v>2000</v>
      </c>
    </row>
    <row r="131" spans="1:7" x14ac:dyDescent="0.25">
      <c r="A131" s="563">
        <v>130</v>
      </c>
      <c r="B131" s="564" t="s">
        <v>42</v>
      </c>
      <c r="C131" s="554" t="s">
        <v>43</v>
      </c>
      <c r="D131" s="569">
        <v>43027</v>
      </c>
      <c r="E131" s="556" t="s">
        <v>699</v>
      </c>
      <c r="F131" s="566" t="s">
        <v>1964</v>
      </c>
      <c r="G131" s="251" t="s">
        <v>2001</v>
      </c>
    </row>
    <row r="132" spans="1:7" x14ac:dyDescent="0.25">
      <c r="A132" s="571">
        <v>131</v>
      </c>
      <c r="B132" s="572" t="s">
        <v>304</v>
      </c>
      <c r="C132" s="568" t="s">
        <v>581</v>
      </c>
      <c r="D132" s="569">
        <v>43035</v>
      </c>
      <c r="E132" s="573" t="s">
        <v>699</v>
      </c>
      <c r="F132" s="574" t="s">
        <v>1965</v>
      </c>
      <c r="G132" s="251" t="s">
        <v>2002</v>
      </c>
    </row>
    <row r="133" spans="1:7" x14ac:dyDescent="0.25">
      <c r="A133" s="571">
        <v>132</v>
      </c>
      <c r="B133" s="572" t="s">
        <v>251</v>
      </c>
      <c r="C133" s="568" t="s">
        <v>252</v>
      </c>
      <c r="D133" s="569">
        <v>43046</v>
      </c>
      <c r="E133" s="573" t="s">
        <v>699</v>
      </c>
      <c r="F133" s="574" t="s">
        <v>1966</v>
      </c>
      <c r="G133" s="251" t="s">
        <v>2003</v>
      </c>
    </row>
    <row r="134" spans="1:7" x14ac:dyDescent="0.25">
      <c r="A134" s="571">
        <v>133</v>
      </c>
      <c r="B134" s="572" t="s">
        <v>336</v>
      </c>
      <c r="C134" s="568" t="s">
        <v>337</v>
      </c>
      <c r="D134" s="569">
        <v>43046</v>
      </c>
      <c r="E134" s="573" t="s">
        <v>699</v>
      </c>
      <c r="F134" s="575" t="s">
        <v>1967</v>
      </c>
      <c r="G134" s="251" t="s">
        <v>2004</v>
      </c>
    </row>
    <row r="135" spans="1:7" x14ac:dyDescent="0.25">
      <c r="A135" s="571">
        <v>134</v>
      </c>
      <c r="B135" s="572" t="s">
        <v>1899</v>
      </c>
      <c r="C135" s="568" t="s">
        <v>1900</v>
      </c>
      <c r="D135" s="576">
        <v>43067</v>
      </c>
      <c r="E135" s="577" t="s">
        <v>702</v>
      </c>
      <c r="F135" s="575" t="s">
        <v>1968</v>
      </c>
      <c r="G135" s="251" t="s">
        <v>2005</v>
      </c>
    </row>
    <row r="136" spans="1:7" x14ac:dyDescent="0.25">
      <c r="A136" s="571">
        <v>135</v>
      </c>
      <c r="B136" s="572" t="s">
        <v>470</v>
      </c>
      <c r="C136" s="568" t="s">
        <v>471</v>
      </c>
      <c r="D136" s="569">
        <v>43080</v>
      </c>
      <c r="E136" s="573" t="s">
        <v>699</v>
      </c>
      <c r="F136" s="575" t="s">
        <v>1969</v>
      </c>
      <c r="G136" s="251" t="s">
        <v>2006</v>
      </c>
    </row>
    <row r="137" spans="1:7" x14ac:dyDescent="0.25">
      <c r="A137" s="571">
        <v>136</v>
      </c>
      <c r="B137" s="572" t="s">
        <v>1906</v>
      </c>
      <c r="C137" s="568" t="s">
        <v>1907</v>
      </c>
      <c r="D137" s="569">
        <v>43082</v>
      </c>
      <c r="E137" s="577" t="s">
        <v>702</v>
      </c>
      <c r="F137" s="575" t="s">
        <v>1970</v>
      </c>
      <c r="G137" s="251" t="s">
        <v>2007</v>
      </c>
    </row>
    <row r="138" spans="1:7" x14ac:dyDescent="0.25">
      <c r="A138" s="571">
        <v>137</v>
      </c>
      <c r="B138" s="572" t="s">
        <v>431</v>
      </c>
      <c r="C138" s="568" t="s">
        <v>432</v>
      </c>
      <c r="D138" s="569">
        <v>43096</v>
      </c>
      <c r="E138" s="573" t="s">
        <v>699</v>
      </c>
      <c r="F138" s="575" t="s">
        <v>1971</v>
      </c>
      <c r="G138" s="251" t="s">
        <v>2008</v>
      </c>
    </row>
    <row r="139" spans="1:7" x14ac:dyDescent="0.25">
      <c r="A139" s="580">
        <v>138</v>
      </c>
      <c r="B139" s="578" t="s">
        <v>1972</v>
      </c>
      <c r="C139" s="568" t="s">
        <v>1973</v>
      </c>
      <c r="D139" s="569">
        <v>43096</v>
      </c>
      <c r="E139" s="573" t="s">
        <v>864</v>
      </c>
      <c r="F139" s="575" t="s">
        <v>1974</v>
      </c>
      <c r="G139" s="251" t="s">
        <v>2009</v>
      </c>
    </row>
    <row r="140" spans="1:7" x14ac:dyDescent="0.25">
      <c r="A140" s="575">
        <v>139</v>
      </c>
      <c r="B140" s="571" t="s">
        <v>1975</v>
      </c>
      <c r="C140" s="568" t="s">
        <v>1976</v>
      </c>
      <c r="D140" s="569">
        <v>43103</v>
      </c>
      <c r="E140" s="577" t="s">
        <v>702</v>
      </c>
      <c r="F140" s="575" t="s">
        <v>1977</v>
      </c>
      <c r="G140" s="251" t="s">
        <v>2010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="80" zoomScaleNormal="80" workbookViewId="0">
      <selection activeCell="M23" sqref="M23"/>
    </sheetView>
  </sheetViews>
  <sheetFormatPr defaultRowHeight="15" x14ac:dyDescent="0.25"/>
  <sheetData>
    <row r="1" spans="1:30" x14ac:dyDescent="0.25">
      <c r="A1" s="29" t="s">
        <v>535</v>
      </c>
      <c r="B1" s="4"/>
      <c r="C1" s="4"/>
    </row>
    <row r="2" spans="1:30" ht="18.75" x14ac:dyDescent="0.3">
      <c r="A2" s="30" t="s">
        <v>526</v>
      </c>
      <c r="B2" s="20" t="s">
        <v>531</v>
      </c>
      <c r="C2" s="20"/>
      <c r="R2" s="607" t="s">
        <v>838</v>
      </c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9"/>
    </row>
    <row r="3" spans="1:30" x14ac:dyDescent="0.25">
      <c r="A3" s="30" t="s">
        <v>527</v>
      </c>
      <c r="B3" s="20" t="s">
        <v>533</v>
      </c>
      <c r="C3" s="20"/>
      <c r="R3" s="126" t="s">
        <v>815</v>
      </c>
      <c r="S3" s="613" t="s">
        <v>846</v>
      </c>
      <c r="T3" s="614"/>
      <c r="U3" s="614"/>
      <c r="V3" s="614"/>
      <c r="W3" s="614"/>
      <c r="X3" s="615"/>
      <c r="Y3" s="616" t="s">
        <v>835</v>
      </c>
      <c r="Z3" s="617"/>
      <c r="AA3" s="617"/>
      <c r="AB3" s="617"/>
      <c r="AC3" s="617"/>
      <c r="AD3" s="618"/>
    </row>
    <row r="4" spans="1:30" x14ac:dyDescent="0.25">
      <c r="A4" s="30" t="s">
        <v>528</v>
      </c>
      <c r="B4" s="20" t="s">
        <v>532</v>
      </c>
      <c r="C4" s="20"/>
      <c r="R4" s="129" t="s">
        <v>843</v>
      </c>
      <c r="S4" s="610" t="s">
        <v>847</v>
      </c>
      <c r="T4" s="610"/>
      <c r="U4" s="610"/>
      <c r="V4" s="610"/>
      <c r="W4" s="610"/>
      <c r="X4" s="610"/>
      <c r="Y4" s="611" t="s">
        <v>848</v>
      </c>
      <c r="Z4" s="611"/>
      <c r="AA4" s="611"/>
      <c r="AB4" s="611"/>
      <c r="AC4" s="611"/>
      <c r="AD4" s="612"/>
    </row>
    <row r="5" spans="1:30" x14ac:dyDescent="0.25">
      <c r="A5" s="30" t="s">
        <v>529</v>
      </c>
      <c r="B5" s="20" t="s">
        <v>534</v>
      </c>
      <c r="C5" s="20"/>
      <c r="R5" s="70"/>
      <c r="S5" s="116"/>
      <c r="T5" s="116"/>
      <c r="U5" s="116"/>
      <c r="V5" s="116"/>
      <c r="W5" s="116"/>
      <c r="X5" s="116"/>
      <c r="Y5" s="127"/>
      <c r="Z5" s="127"/>
      <c r="AA5" s="127"/>
      <c r="AB5" s="127"/>
      <c r="AC5" s="127"/>
      <c r="AD5" s="128"/>
    </row>
    <row r="6" spans="1:30" x14ac:dyDescent="0.25">
      <c r="A6" s="30" t="s">
        <v>530</v>
      </c>
      <c r="B6" s="20" t="s">
        <v>1133</v>
      </c>
      <c r="C6" s="20"/>
    </row>
    <row r="8" spans="1:30" x14ac:dyDescent="0.25">
      <c r="A8" s="98" t="s">
        <v>600</v>
      </c>
    </row>
    <row r="9" spans="1:30" ht="18.75" x14ac:dyDescent="0.3">
      <c r="R9" s="604" t="s">
        <v>823</v>
      </c>
      <c r="S9" s="605"/>
      <c r="T9" s="605"/>
      <c r="U9" s="605"/>
      <c r="V9" s="605"/>
      <c r="W9" s="605"/>
      <c r="X9" s="605"/>
      <c r="Y9" s="605"/>
      <c r="Z9" s="605"/>
      <c r="AA9" s="605"/>
      <c r="AB9" s="605"/>
      <c r="AC9" s="605"/>
      <c r="AD9" s="606"/>
    </row>
    <row r="10" spans="1:30" x14ac:dyDescent="0.25">
      <c r="R10" s="36"/>
      <c r="S10" s="14" t="s">
        <v>510</v>
      </c>
      <c r="T10" s="14" t="s">
        <v>511</v>
      </c>
      <c r="U10" s="14" t="s">
        <v>512</v>
      </c>
      <c r="V10" s="14" t="s">
        <v>513</v>
      </c>
      <c r="W10" s="14" t="s">
        <v>514</v>
      </c>
      <c r="X10" s="14" t="s">
        <v>515</v>
      </c>
      <c r="Y10" s="14" t="s">
        <v>516</v>
      </c>
      <c r="Z10" s="14" t="s">
        <v>517</v>
      </c>
      <c r="AA10" s="14" t="s">
        <v>518</v>
      </c>
      <c r="AB10" s="14" t="s">
        <v>519</v>
      </c>
      <c r="AC10" s="14" t="s">
        <v>520</v>
      </c>
      <c r="AD10" s="45" t="s">
        <v>521</v>
      </c>
    </row>
    <row r="11" spans="1:30" x14ac:dyDescent="0.25">
      <c r="C11" s="19" t="s">
        <v>543</v>
      </c>
      <c r="R11" s="70" t="s">
        <v>806</v>
      </c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8"/>
    </row>
    <row r="12" spans="1:30" x14ac:dyDescent="0.25">
      <c r="C12" t="s">
        <v>586</v>
      </c>
      <c r="R12" s="70" t="s">
        <v>807</v>
      </c>
      <c r="S12" s="116"/>
      <c r="T12" s="116"/>
      <c r="U12" s="116"/>
      <c r="V12" s="116"/>
      <c r="W12" s="116"/>
      <c r="X12" s="116"/>
      <c r="Y12" s="127"/>
      <c r="Z12" s="127"/>
      <c r="AA12" s="127"/>
      <c r="AB12" s="127"/>
      <c r="AC12" s="127"/>
      <c r="AD12" s="128"/>
    </row>
    <row r="13" spans="1:30" x14ac:dyDescent="0.25">
      <c r="C13" t="s">
        <v>587</v>
      </c>
      <c r="R13" s="70" t="s">
        <v>808</v>
      </c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8"/>
    </row>
    <row r="14" spans="1:30" x14ac:dyDescent="0.25">
      <c r="R14" s="124" t="s">
        <v>691</v>
      </c>
    </row>
    <row r="16" spans="1:30" ht="18.75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R16" s="604" t="s">
        <v>821</v>
      </c>
      <c r="S16" s="605"/>
      <c r="T16" s="605"/>
      <c r="U16" s="605"/>
      <c r="V16" s="605"/>
      <c r="W16" s="605"/>
      <c r="X16" s="605"/>
      <c r="Y16" s="605"/>
      <c r="Z16" s="605"/>
      <c r="AA16" s="605"/>
      <c r="AB16" s="605"/>
      <c r="AC16" s="605"/>
      <c r="AD16" s="606"/>
    </row>
    <row r="17" spans="2:30" x14ac:dyDescent="0.25">
      <c r="R17" s="36"/>
      <c r="S17" s="14" t="s">
        <v>510</v>
      </c>
      <c r="T17" s="14" t="s">
        <v>511</v>
      </c>
      <c r="U17" s="14" t="s">
        <v>512</v>
      </c>
      <c r="V17" s="14" t="s">
        <v>513</v>
      </c>
      <c r="W17" s="14" t="s">
        <v>514</v>
      </c>
      <c r="X17" s="14" t="s">
        <v>515</v>
      </c>
      <c r="Y17" s="14" t="s">
        <v>516</v>
      </c>
      <c r="Z17" s="14" t="s">
        <v>517</v>
      </c>
      <c r="AA17" s="14" t="s">
        <v>518</v>
      </c>
      <c r="AB17" s="14" t="s">
        <v>519</v>
      </c>
      <c r="AC17" s="14" t="s">
        <v>520</v>
      </c>
      <c r="AD17" s="45" t="s">
        <v>521</v>
      </c>
    </row>
    <row r="18" spans="2:30" ht="18.75" x14ac:dyDescent="0.3">
      <c r="B18" s="230" t="s">
        <v>923</v>
      </c>
      <c r="R18" s="70" t="s">
        <v>837</v>
      </c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8"/>
    </row>
    <row r="19" spans="2:30" x14ac:dyDescent="0.25">
      <c r="B19" t="s">
        <v>824</v>
      </c>
      <c r="R19" s="70" t="s">
        <v>822</v>
      </c>
      <c r="S19" s="116"/>
      <c r="T19" s="116"/>
      <c r="U19" s="116"/>
      <c r="V19" s="116"/>
      <c r="W19" s="116"/>
      <c r="X19" s="116"/>
      <c r="Y19" s="127"/>
      <c r="Z19" s="127"/>
      <c r="AA19" s="127"/>
      <c r="AB19" s="127"/>
      <c r="AC19" s="127"/>
      <c r="AD19" s="128"/>
    </row>
    <row r="20" spans="2:30" x14ac:dyDescent="0.25">
      <c r="B20" t="s">
        <v>825</v>
      </c>
      <c r="R20" s="70" t="s">
        <v>689</v>
      </c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8"/>
    </row>
    <row r="21" spans="2:30" x14ac:dyDescent="0.25">
      <c r="B21" t="s">
        <v>826</v>
      </c>
      <c r="R21" s="124" t="s">
        <v>691</v>
      </c>
    </row>
    <row r="22" spans="2:30" x14ac:dyDescent="0.25">
      <c r="B22" t="s">
        <v>827</v>
      </c>
    </row>
    <row r="23" spans="2:30" x14ac:dyDescent="0.25">
      <c r="B23" t="s">
        <v>828</v>
      </c>
      <c r="R23" s="125"/>
    </row>
    <row r="24" spans="2:30" ht="18.75" x14ac:dyDescent="0.3">
      <c r="B24" t="s">
        <v>829</v>
      </c>
      <c r="R24" s="604" t="s">
        <v>836</v>
      </c>
      <c r="S24" s="605"/>
      <c r="T24" s="605"/>
      <c r="U24" s="605"/>
      <c r="V24" s="605"/>
      <c r="W24" s="605"/>
      <c r="X24" s="605"/>
      <c r="Y24" s="605"/>
      <c r="Z24" s="605"/>
      <c r="AA24" s="605"/>
      <c r="AB24" s="605"/>
      <c r="AC24" s="605"/>
      <c r="AD24" s="606"/>
    </row>
    <row r="25" spans="2:30" x14ac:dyDescent="0.25">
      <c r="B25" t="s">
        <v>830</v>
      </c>
      <c r="R25" s="36"/>
      <c r="S25" s="14" t="s">
        <v>832</v>
      </c>
      <c r="T25" s="616" t="s">
        <v>833</v>
      </c>
      <c r="U25" s="619"/>
      <c r="V25" s="616" t="s">
        <v>834</v>
      </c>
      <c r="W25" s="619"/>
      <c r="X25" s="613" t="s">
        <v>835</v>
      </c>
      <c r="Y25" s="614"/>
      <c r="Z25" s="614"/>
      <c r="AA25" s="614"/>
      <c r="AB25" s="614"/>
      <c r="AC25" s="614"/>
      <c r="AD25" s="620"/>
    </row>
    <row r="26" spans="2:30" x14ac:dyDescent="0.25">
      <c r="B26" t="s">
        <v>1250</v>
      </c>
      <c r="R26" s="129" t="s">
        <v>831</v>
      </c>
      <c r="S26" s="127" t="s">
        <v>839</v>
      </c>
      <c r="T26" s="621" t="s">
        <v>840</v>
      </c>
      <c r="U26" s="621"/>
      <c r="V26" s="621" t="s">
        <v>842</v>
      </c>
      <c r="W26" s="621"/>
      <c r="X26" s="610" t="s">
        <v>841</v>
      </c>
      <c r="Y26" s="610"/>
      <c r="Z26" s="610"/>
      <c r="AA26" s="610"/>
      <c r="AB26" s="610"/>
      <c r="AC26" s="610"/>
      <c r="AD26" s="622"/>
    </row>
    <row r="27" spans="2:30" x14ac:dyDescent="0.25">
      <c r="B27" t="s">
        <v>1251</v>
      </c>
      <c r="R27" s="70"/>
      <c r="S27" s="116"/>
      <c r="T27" s="116"/>
      <c r="U27" s="116"/>
      <c r="V27" s="116"/>
      <c r="W27" s="116"/>
      <c r="X27" s="116"/>
      <c r="Y27" s="127"/>
      <c r="Z27" s="127"/>
      <c r="AA27" s="127"/>
      <c r="AB27" s="127"/>
      <c r="AC27" s="127"/>
      <c r="AD27" s="128"/>
    </row>
    <row r="28" spans="2:30" x14ac:dyDescent="0.25">
      <c r="B28" t="s">
        <v>1252</v>
      </c>
      <c r="R28" s="70"/>
      <c r="S28" s="116"/>
      <c r="T28" s="116"/>
      <c r="U28" s="116"/>
      <c r="V28" s="116"/>
      <c r="W28" s="116"/>
      <c r="X28" s="116"/>
      <c r="Y28" s="222"/>
      <c r="Z28" s="222"/>
      <c r="AA28" s="222"/>
      <c r="AB28" s="222"/>
      <c r="AC28" s="222"/>
      <c r="AD28" s="221"/>
    </row>
    <row r="29" spans="2:30" x14ac:dyDescent="0.25">
      <c r="R29" s="70"/>
      <c r="S29" s="116"/>
      <c r="T29" s="116"/>
      <c r="U29" s="116"/>
      <c r="V29" s="116"/>
      <c r="W29" s="116"/>
      <c r="X29" s="116"/>
      <c r="Y29" s="222"/>
      <c r="Z29" s="222"/>
      <c r="AA29" s="222"/>
      <c r="AB29" s="222"/>
      <c r="AC29" s="222"/>
      <c r="AD29" s="221"/>
    </row>
    <row r="30" spans="2:30" x14ac:dyDescent="0.25">
      <c r="B30" s="143" t="s">
        <v>924</v>
      </c>
      <c r="R30" s="70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8"/>
    </row>
    <row r="31" spans="2:30" x14ac:dyDescent="0.25">
      <c r="B31" t="s">
        <v>925</v>
      </c>
      <c r="R31" s="124"/>
    </row>
    <row r="35" spans="2:12" x14ac:dyDescent="0.25">
      <c r="B35" s="282" t="s">
        <v>1302</v>
      </c>
      <c r="C35" s="283"/>
      <c r="D35" s="283"/>
      <c r="E35" s="283"/>
      <c r="F35" s="283"/>
      <c r="G35" s="283"/>
      <c r="H35" s="283"/>
      <c r="I35" s="283"/>
      <c r="J35" s="283"/>
      <c r="K35" s="283"/>
      <c r="L35" s="284"/>
    </row>
    <row r="36" spans="2:12" x14ac:dyDescent="0.25">
      <c r="B36" s="279"/>
      <c r="C36" s="20"/>
      <c r="D36" s="20"/>
      <c r="E36" s="20"/>
      <c r="F36" s="20"/>
      <c r="G36" s="20"/>
      <c r="H36" s="20"/>
      <c r="I36" s="20"/>
      <c r="J36" s="20"/>
      <c r="K36" s="20"/>
      <c r="L36" s="138"/>
    </row>
    <row r="37" spans="2:12" x14ac:dyDescent="0.25">
      <c r="B37" s="279" t="s">
        <v>1305</v>
      </c>
      <c r="C37" s="20"/>
      <c r="D37" s="20"/>
      <c r="E37" s="20"/>
      <c r="F37" s="20"/>
      <c r="G37" s="20"/>
      <c r="H37" s="20"/>
      <c r="I37" s="20"/>
      <c r="J37" s="20"/>
      <c r="K37" s="20"/>
      <c r="L37" s="138"/>
    </row>
    <row r="38" spans="2:12" x14ac:dyDescent="0.25">
      <c r="B38" s="279" t="s">
        <v>1303</v>
      </c>
      <c r="C38" s="20"/>
      <c r="D38" s="20"/>
      <c r="E38" s="20"/>
      <c r="F38" s="20"/>
      <c r="G38" s="20"/>
      <c r="H38" s="20"/>
      <c r="I38" s="20"/>
      <c r="J38" s="20"/>
      <c r="K38" s="20"/>
      <c r="L38" s="138"/>
    </row>
    <row r="39" spans="2:12" x14ac:dyDescent="0.25">
      <c r="B39" s="279" t="s">
        <v>1304</v>
      </c>
      <c r="C39" s="20"/>
      <c r="D39" s="20"/>
      <c r="E39" s="20"/>
      <c r="F39" s="20"/>
      <c r="G39" s="20"/>
      <c r="H39" s="20"/>
      <c r="I39" s="20"/>
      <c r="J39" s="20"/>
      <c r="K39" s="20"/>
      <c r="L39" s="138"/>
    </row>
    <row r="40" spans="2:12" x14ac:dyDescent="0.25">
      <c r="B40" s="280"/>
      <c r="C40" s="4"/>
      <c r="D40" s="4"/>
      <c r="E40" s="4"/>
      <c r="F40" s="4"/>
      <c r="G40" s="4"/>
      <c r="H40" s="4"/>
      <c r="I40" s="4"/>
      <c r="J40" s="4"/>
      <c r="K40" s="4"/>
      <c r="L40" s="281"/>
    </row>
  </sheetData>
  <mergeCells count="14">
    <mergeCell ref="R24:AD24"/>
    <mergeCell ref="T25:U25"/>
    <mergeCell ref="V25:W25"/>
    <mergeCell ref="X25:AD25"/>
    <mergeCell ref="T26:U26"/>
    <mergeCell ref="V26:W26"/>
    <mergeCell ref="X26:AD26"/>
    <mergeCell ref="R16:AD16"/>
    <mergeCell ref="R2:AD2"/>
    <mergeCell ref="S4:X4"/>
    <mergeCell ref="Y4:AD4"/>
    <mergeCell ref="S3:X3"/>
    <mergeCell ref="Y3:AD3"/>
    <mergeCell ref="R9:AD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AF136"/>
  <sheetViews>
    <sheetView topLeftCell="A95" zoomScale="80" zoomScaleNormal="80" workbookViewId="0">
      <selection activeCell="L79" sqref="L79"/>
    </sheetView>
  </sheetViews>
  <sheetFormatPr defaultRowHeight="15" x14ac:dyDescent="0.25"/>
  <cols>
    <col min="1" max="1" width="1.7109375" customWidth="1"/>
    <col min="2" max="2" width="29.28515625" customWidth="1"/>
    <col min="3" max="3" width="12.5703125" customWidth="1"/>
    <col min="4" max="4" width="11.5703125" customWidth="1"/>
    <col min="5" max="5" width="11.85546875" customWidth="1"/>
    <col min="6" max="6" width="12.5703125" customWidth="1"/>
    <col min="7" max="7" width="12" customWidth="1"/>
    <col min="8" max="8" width="13.140625" customWidth="1"/>
    <col min="9" max="9" width="12.140625" customWidth="1"/>
    <col min="10" max="10" width="11.28515625" customWidth="1"/>
    <col min="11" max="11" width="10.85546875" customWidth="1"/>
    <col min="12" max="12" width="12.42578125" customWidth="1"/>
    <col min="13" max="13" width="11.85546875" customWidth="1"/>
    <col min="14" max="14" width="10.85546875" customWidth="1"/>
    <col min="15" max="15" width="1.5703125" customWidth="1"/>
    <col min="16" max="16" width="30" customWidth="1"/>
    <col min="17" max="17" width="11.85546875" bestFit="1" customWidth="1"/>
    <col min="18" max="18" width="10.85546875" customWidth="1"/>
    <col min="19" max="19" width="9.28515625" bestFit="1" customWidth="1"/>
    <col min="29" max="29" width="1.5703125" customWidth="1"/>
    <col min="30" max="30" width="5.7109375" customWidth="1"/>
  </cols>
  <sheetData>
    <row r="1" spans="2:28" ht="9" customHeight="1" x14ac:dyDescent="0.25"/>
    <row r="2" spans="2:28" ht="18.75" x14ac:dyDescent="0.3">
      <c r="B2" s="33"/>
      <c r="C2" s="67" t="s">
        <v>537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  <c r="P2" s="46"/>
      <c r="Q2" s="67" t="s">
        <v>564</v>
      </c>
      <c r="R2" s="47"/>
      <c r="S2" s="47"/>
      <c r="T2" s="47"/>
      <c r="U2" s="47"/>
      <c r="V2" s="47"/>
      <c r="W2" s="47"/>
      <c r="X2" s="47"/>
      <c r="Y2" s="47"/>
      <c r="Z2" s="47"/>
      <c r="AA2" s="47"/>
      <c r="AB2" s="48"/>
    </row>
    <row r="3" spans="2:28" x14ac:dyDescent="0.25">
      <c r="B3" s="36"/>
      <c r="C3" s="8" t="s">
        <v>510</v>
      </c>
      <c r="D3" s="8" t="s">
        <v>511</v>
      </c>
      <c r="E3" s="8" t="s">
        <v>512</v>
      </c>
      <c r="F3" s="8" t="s">
        <v>513</v>
      </c>
      <c r="G3" s="8" t="s">
        <v>514</v>
      </c>
      <c r="H3" s="8" t="s">
        <v>515</v>
      </c>
      <c r="I3" s="8" t="s">
        <v>516</v>
      </c>
      <c r="J3" s="8" t="s">
        <v>517</v>
      </c>
      <c r="K3" s="8" t="s">
        <v>518</v>
      </c>
      <c r="L3" s="8" t="s">
        <v>519</v>
      </c>
      <c r="M3" s="8" t="s">
        <v>520</v>
      </c>
      <c r="N3" s="25" t="s">
        <v>521</v>
      </c>
      <c r="P3" s="36"/>
      <c r="Q3" s="14" t="s">
        <v>510</v>
      </c>
      <c r="R3" s="14" t="s">
        <v>511</v>
      </c>
      <c r="S3" s="14" t="s">
        <v>512</v>
      </c>
      <c r="T3" s="14" t="s">
        <v>513</v>
      </c>
      <c r="U3" s="14" t="s">
        <v>514</v>
      </c>
      <c r="V3" s="14" t="s">
        <v>515</v>
      </c>
      <c r="W3" s="14" t="s">
        <v>516</v>
      </c>
      <c r="X3" s="14" t="s">
        <v>517</v>
      </c>
      <c r="Y3" s="14" t="s">
        <v>518</v>
      </c>
      <c r="Z3" s="14" t="s">
        <v>519</v>
      </c>
      <c r="AA3" s="14" t="s">
        <v>520</v>
      </c>
      <c r="AB3" s="45" t="s">
        <v>521</v>
      </c>
    </row>
    <row r="4" spans="2:28" x14ac:dyDescent="0.25">
      <c r="B4" s="37" t="s">
        <v>35</v>
      </c>
      <c r="C4" s="5">
        <v>91</v>
      </c>
      <c r="D4" s="5">
        <v>91</v>
      </c>
      <c r="E4" s="5">
        <v>91</v>
      </c>
      <c r="F4" s="5">
        <v>91</v>
      </c>
      <c r="G4" s="5">
        <v>94</v>
      </c>
      <c r="H4" s="5">
        <v>93</v>
      </c>
      <c r="I4" s="5">
        <v>95</v>
      </c>
      <c r="J4" s="5">
        <v>93</v>
      </c>
      <c r="K4" s="5">
        <v>92</v>
      </c>
      <c r="L4" s="5">
        <v>94</v>
      </c>
      <c r="M4" s="5">
        <v>95</v>
      </c>
      <c r="N4" s="27">
        <v>94</v>
      </c>
      <c r="P4" s="26" t="s">
        <v>614</v>
      </c>
      <c r="Q4" s="100">
        <v>1260</v>
      </c>
      <c r="R4" s="100">
        <v>1630</v>
      </c>
      <c r="S4" s="6">
        <v>1465</v>
      </c>
      <c r="T4" s="6">
        <v>1596</v>
      </c>
      <c r="U4" s="6">
        <v>1728</v>
      </c>
      <c r="V4" s="6">
        <v>1770</v>
      </c>
      <c r="W4" s="6">
        <v>1558</v>
      </c>
      <c r="X4" s="6">
        <v>1860.05</v>
      </c>
      <c r="Y4" s="6">
        <v>1864.8</v>
      </c>
      <c r="Z4" s="6">
        <v>1761.25</v>
      </c>
      <c r="AA4" s="6">
        <v>1703.6</v>
      </c>
      <c r="AB4" s="49">
        <v>1765</v>
      </c>
    </row>
    <row r="5" spans="2:28" x14ac:dyDescent="0.25">
      <c r="B5" s="37" t="s">
        <v>30</v>
      </c>
      <c r="C5" s="5">
        <v>85</v>
      </c>
      <c r="D5" s="5">
        <v>85</v>
      </c>
      <c r="E5" s="5">
        <v>84</v>
      </c>
      <c r="F5" s="5">
        <v>85</v>
      </c>
      <c r="G5" s="5">
        <v>87</v>
      </c>
      <c r="H5" s="5">
        <v>89</v>
      </c>
      <c r="I5" s="5">
        <v>90</v>
      </c>
      <c r="J5" s="5">
        <v>88</v>
      </c>
      <c r="K5" s="5">
        <v>87</v>
      </c>
      <c r="L5" s="5">
        <v>87</v>
      </c>
      <c r="M5" s="5">
        <v>87</v>
      </c>
      <c r="N5" s="27">
        <v>88</v>
      </c>
      <c r="P5" s="26" t="s">
        <v>615</v>
      </c>
      <c r="Q5" s="6">
        <f t="shared" ref="Q5:V5" si="0">Q6-Q4</f>
        <v>136</v>
      </c>
      <c r="R5" s="6">
        <f t="shared" si="0"/>
        <v>158</v>
      </c>
      <c r="S5" s="6">
        <f t="shared" si="0"/>
        <v>393</v>
      </c>
      <c r="T5" s="6">
        <f t="shared" si="0"/>
        <v>275</v>
      </c>
      <c r="U5" s="6">
        <f t="shared" si="0"/>
        <v>211</v>
      </c>
      <c r="V5" s="6">
        <f t="shared" si="0"/>
        <v>170</v>
      </c>
      <c r="W5" s="6">
        <v>124.5</v>
      </c>
      <c r="X5" s="6">
        <f>X6-X4</f>
        <v>71.75</v>
      </c>
      <c r="Y5" s="6">
        <v>45.5</v>
      </c>
      <c r="Z5" s="6">
        <v>53.25</v>
      </c>
      <c r="AA5" s="6">
        <v>156.25</v>
      </c>
      <c r="AB5" s="49">
        <v>94.5</v>
      </c>
    </row>
    <row r="6" spans="2:28" x14ac:dyDescent="0.25">
      <c r="B6" s="37" t="s">
        <v>38</v>
      </c>
      <c r="C6" s="5">
        <v>17</v>
      </c>
      <c r="D6" s="5">
        <v>17</v>
      </c>
      <c r="E6" s="5">
        <v>17</v>
      </c>
      <c r="F6" s="5">
        <v>17</v>
      </c>
      <c r="G6" s="5">
        <v>17</v>
      </c>
      <c r="H6" s="5">
        <v>17</v>
      </c>
      <c r="I6" s="5">
        <v>17</v>
      </c>
      <c r="J6" s="5">
        <v>17</v>
      </c>
      <c r="K6" s="5">
        <v>17</v>
      </c>
      <c r="L6" s="5">
        <v>17</v>
      </c>
      <c r="M6" s="5">
        <v>17</v>
      </c>
      <c r="N6" s="27">
        <v>17</v>
      </c>
      <c r="P6" s="50" t="s">
        <v>616</v>
      </c>
      <c r="Q6" s="101">
        <v>1396</v>
      </c>
      <c r="R6" s="101">
        <v>1788</v>
      </c>
      <c r="S6" s="21">
        <v>1858</v>
      </c>
      <c r="T6" s="21">
        <v>1871</v>
      </c>
      <c r="U6" s="21">
        <v>1939</v>
      </c>
      <c r="V6" s="21">
        <v>1940</v>
      </c>
      <c r="W6" s="21">
        <v>1681.5</v>
      </c>
      <c r="X6" s="21">
        <v>1931.8</v>
      </c>
      <c r="Y6" s="21">
        <v>1910.3</v>
      </c>
      <c r="Z6" s="21">
        <v>1814.5</v>
      </c>
      <c r="AA6" s="21">
        <v>1859.85</v>
      </c>
      <c r="AB6" s="51">
        <v>1859.5</v>
      </c>
    </row>
    <row r="7" spans="2:28" x14ac:dyDescent="0.25">
      <c r="B7" s="37" t="s">
        <v>56</v>
      </c>
      <c r="C7" s="5">
        <v>39</v>
      </c>
      <c r="D7" s="5">
        <v>40</v>
      </c>
      <c r="E7" s="5">
        <v>41</v>
      </c>
      <c r="F7" s="5">
        <v>45</v>
      </c>
      <c r="G7" s="5">
        <v>46</v>
      </c>
      <c r="H7" s="5">
        <v>46</v>
      </c>
      <c r="I7" s="5">
        <v>46</v>
      </c>
      <c r="J7" s="5">
        <v>45</v>
      </c>
      <c r="K7" s="5">
        <v>46</v>
      </c>
      <c r="L7" s="5">
        <v>46</v>
      </c>
      <c r="M7" s="5">
        <v>47</v>
      </c>
      <c r="N7" s="27">
        <v>50</v>
      </c>
      <c r="P7" s="50" t="s">
        <v>618</v>
      </c>
      <c r="Q7" s="101">
        <v>62</v>
      </c>
      <c r="R7" s="101">
        <v>52</v>
      </c>
      <c r="S7" s="108">
        <v>56</v>
      </c>
      <c r="T7" s="21">
        <v>60</v>
      </c>
      <c r="U7" s="21">
        <v>43</v>
      </c>
      <c r="V7" s="21">
        <v>69</v>
      </c>
      <c r="W7" s="21">
        <v>47</v>
      </c>
      <c r="X7" s="21">
        <v>74</v>
      </c>
      <c r="Y7" s="21">
        <v>41</v>
      </c>
      <c r="Z7" s="21">
        <v>36</v>
      </c>
      <c r="AA7" s="21">
        <v>40</v>
      </c>
      <c r="AB7" s="51">
        <v>30</v>
      </c>
    </row>
    <row r="8" spans="2:28" x14ac:dyDescent="0.25">
      <c r="B8" s="37" t="s">
        <v>233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27">
        <v>1</v>
      </c>
      <c r="P8" s="23" t="s">
        <v>617</v>
      </c>
      <c r="Q8" s="102">
        <f t="shared" ref="Q8:R8" si="1">Q5/Q6</f>
        <v>9.7421203438395415E-2</v>
      </c>
      <c r="R8" s="102">
        <f t="shared" si="1"/>
        <v>8.8366890380313201E-2</v>
      </c>
      <c r="S8" s="102">
        <f t="shared" ref="S8:AB8" si="2">S5/S6</f>
        <v>0.21151776103336922</v>
      </c>
      <c r="T8" s="102">
        <f t="shared" si="2"/>
        <v>0.14698022447888828</v>
      </c>
      <c r="U8" s="102">
        <f t="shared" si="2"/>
        <v>0.10881897885507993</v>
      </c>
      <c r="V8" s="102">
        <f t="shared" si="2"/>
        <v>8.7628865979381437E-2</v>
      </c>
      <c r="W8" s="102">
        <f t="shared" si="2"/>
        <v>7.4041034790365751E-2</v>
      </c>
      <c r="X8" s="102">
        <f t="shared" si="2"/>
        <v>3.7141526037892121E-2</v>
      </c>
      <c r="Y8" s="102">
        <f t="shared" si="2"/>
        <v>2.3818248442652987E-2</v>
      </c>
      <c r="Z8" s="102">
        <f t="shared" si="2"/>
        <v>2.9346927528244696E-2</v>
      </c>
      <c r="AA8" s="102">
        <f t="shared" si="2"/>
        <v>8.4012151517595515E-2</v>
      </c>
      <c r="AB8" s="102">
        <f t="shared" si="2"/>
        <v>5.0820112933584294E-2</v>
      </c>
    </row>
    <row r="9" spans="2:28" x14ac:dyDescent="0.25">
      <c r="B9" s="37" t="s">
        <v>45</v>
      </c>
      <c r="C9" s="5">
        <f>26-3</f>
        <v>23</v>
      </c>
      <c r="D9" s="5">
        <f>26-3</f>
        <v>23</v>
      </c>
      <c r="E9" s="5">
        <f>25-3</f>
        <v>22</v>
      </c>
      <c r="F9" s="5">
        <f>26-3</f>
        <v>23</v>
      </c>
      <c r="G9" s="5">
        <v>21</v>
      </c>
      <c r="H9" s="5">
        <v>21</v>
      </c>
      <c r="I9" s="5">
        <v>21</v>
      </c>
      <c r="J9" s="5">
        <v>20</v>
      </c>
      <c r="K9" s="5">
        <v>20</v>
      </c>
      <c r="L9" s="5">
        <v>20</v>
      </c>
      <c r="M9" s="5">
        <v>20</v>
      </c>
      <c r="N9" s="27">
        <v>21</v>
      </c>
      <c r="P9" s="216" t="s">
        <v>1175</v>
      </c>
      <c r="S9" s="2"/>
    </row>
    <row r="10" spans="2:28" x14ac:dyDescent="0.25">
      <c r="B10" s="38" t="s">
        <v>40</v>
      </c>
      <c r="C10" s="7">
        <v>1</v>
      </c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39">
        <v>1</v>
      </c>
    </row>
    <row r="11" spans="2:28" x14ac:dyDescent="0.25">
      <c r="B11" s="16" t="s">
        <v>523</v>
      </c>
      <c r="C11" s="17">
        <f t="shared" ref="C11:H11" si="3">SUM(C4:C10)</f>
        <v>257</v>
      </c>
      <c r="D11" s="17">
        <f t="shared" si="3"/>
        <v>258</v>
      </c>
      <c r="E11" s="17">
        <f t="shared" si="3"/>
        <v>257</v>
      </c>
      <c r="F11" s="17">
        <f t="shared" si="3"/>
        <v>263</v>
      </c>
      <c r="G11" s="17">
        <f t="shared" si="3"/>
        <v>267</v>
      </c>
      <c r="H11" s="17">
        <f t="shared" si="3"/>
        <v>268</v>
      </c>
      <c r="I11" s="17">
        <v>271</v>
      </c>
      <c r="J11" s="17">
        <f>SUM(J4:J10)</f>
        <v>265</v>
      </c>
      <c r="K11" s="17">
        <f>SUM(K4:K10)</f>
        <v>264</v>
      </c>
      <c r="L11" s="17">
        <f>SUM(L4:L10)</f>
        <v>266</v>
      </c>
      <c r="M11" s="17">
        <f>SUM(M4:M10)</f>
        <v>268</v>
      </c>
      <c r="N11" s="17">
        <f>SUM(N4:N10)</f>
        <v>272</v>
      </c>
    </row>
    <row r="12" spans="2:28" x14ac:dyDescent="0.25">
      <c r="B12" s="11" t="s">
        <v>536</v>
      </c>
      <c r="C12" s="18">
        <f>C11-258</f>
        <v>-1</v>
      </c>
      <c r="D12" s="18">
        <f t="shared" ref="D12:N12" si="4">D11-C11</f>
        <v>1</v>
      </c>
      <c r="E12" s="18">
        <f t="shared" si="4"/>
        <v>-1</v>
      </c>
      <c r="F12" s="18">
        <f t="shared" si="4"/>
        <v>6</v>
      </c>
      <c r="G12" s="18">
        <f t="shared" si="4"/>
        <v>4</v>
      </c>
      <c r="H12" s="18">
        <f t="shared" si="4"/>
        <v>1</v>
      </c>
      <c r="I12" s="18">
        <f t="shared" si="4"/>
        <v>3</v>
      </c>
      <c r="J12" s="18">
        <f t="shared" si="4"/>
        <v>-6</v>
      </c>
      <c r="K12" s="18">
        <f t="shared" si="4"/>
        <v>-1</v>
      </c>
      <c r="L12" s="18">
        <f t="shared" si="4"/>
        <v>2</v>
      </c>
      <c r="M12" s="18">
        <f t="shared" si="4"/>
        <v>2</v>
      </c>
      <c r="N12" s="18">
        <f t="shared" si="4"/>
        <v>4</v>
      </c>
    </row>
    <row r="13" spans="2:28" x14ac:dyDescent="0.25">
      <c r="B13" s="180" t="s">
        <v>1134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28" ht="18.75" x14ac:dyDescent="0.3">
      <c r="B14" s="40"/>
      <c r="C14" s="66" t="s">
        <v>522</v>
      </c>
      <c r="D14" s="41"/>
      <c r="E14" s="41"/>
      <c r="F14" s="41"/>
      <c r="G14" s="41"/>
      <c r="H14" s="42"/>
      <c r="I14" s="41"/>
      <c r="J14" s="41"/>
      <c r="K14" s="41"/>
      <c r="L14" s="41"/>
      <c r="M14" s="41"/>
      <c r="N14" s="43"/>
    </row>
    <row r="15" spans="2:28" x14ac:dyDescent="0.25">
      <c r="B15" s="36"/>
      <c r="C15" s="8" t="s">
        <v>510</v>
      </c>
      <c r="D15" s="8" t="s">
        <v>511</v>
      </c>
      <c r="E15" s="8" t="s">
        <v>512</v>
      </c>
      <c r="F15" s="8" t="s">
        <v>513</v>
      </c>
      <c r="G15" s="8" t="s">
        <v>514</v>
      </c>
      <c r="H15" s="8" t="s">
        <v>515</v>
      </c>
      <c r="I15" s="8" t="s">
        <v>516</v>
      </c>
      <c r="J15" s="8" t="s">
        <v>517</v>
      </c>
      <c r="K15" s="8" t="s">
        <v>518</v>
      </c>
      <c r="L15" s="8" t="s">
        <v>519</v>
      </c>
      <c r="M15" s="8" t="s">
        <v>520</v>
      </c>
      <c r="N15" s="25" t="s">
        <v>521</v>
      </c>
    </row>
    <row r="16" spans="2:28" x14ac:dyDescent="0.25">
      <c r="B16" s="37" t="s">
        <v>35</v>
      </c>
      <c r="C16" s="5">
        <v>48</v>
      </c>
      <c r="D16" s="5">
        <v>48</v>
      </c>
      <c r="E16" s="5">
        <v>47</v>
      </c>
      <c r="F16" s="5">
        <v>47</v>
      </c>
      <c r="G16" s="5">
        <v>48</v>
      </c>
      <c r="H16" s="5">
        <v>48</v>
      </c>
      <c r="I16" s="5">
        <v>49</v>
      </c>
      <c r="J16" s="5">
        <v>47</v>
      </c>
      <c r="K16" s="5">
        <v>46</v>
      </c>
      <c r="L16" s="5">
        <v>45</v>
      </c>
      <c r="M16" s="5">
        <v>48</v>
      </c>
      <c r="N16" s="27">
        <v>46</v>
      </c>
    </row>
    <row r="17" spans="2:28" x14ac:dyDescent="0.25">
      <c r="B17" s="37" t="s">
        <v>30</v>
      </c>
      <c r="C17" s="5">
        <v>42</v>
      </c>
      <c r="D17" s="5">
        <v>40</v>
      </c>
      <c r="E17" s="5">
        <v>39</v>
      </c>
      <c r="F17" s="5">
        <v>40</v>
      </c>
      <c r="G17" s="5">
        <v>38</v>
      </c>
      <c r="H17" s="5">
        <v>38</v>
      </c>
      <c r="I17" s="5">
        <v>39</v>
      </c>
      <c r="J17" s="5">
        <v>38</v>
      </c>
      <c r="K17" s="5">
        <v>38</v>
      </c>
      <c r="L17" s="5">
        <v>33</v>
      </c>
      <c r="M17" s="5">
        <v>33</v>
      </c>
      <c r="N17" s="27">
        <v>33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2:28" x14ac:dyDescent="0.25">
      <c r="B18" s="37" t="s">
        <v>38</v>
      </c>
      <c r="C18" s="5">
        <v>6</v>
      </c>
      <c r="D18" s="5">
        <v>4</v>
      </c>
      <c r="E18" s="5">
        <v>4</v>
      </c>
      <c r="F18" s="5">
        <v>4</v>
      </c>
      <c r="G18" s="5">
        <v>4</v>
      </c>
      <c r="H18" s="5">
        <v>4</v>
      </c>
      <c r="I18" s="5">
        <v>4</v>
      </c>
      <c r="J18" s="5">
        <v>4</v>
      </c>
      <c r="K18" s="5">
        <v>4</v>
      </c>
      <c r="L18" s="5">
        <v>1</v>
      </c>
      <c r="M18" s="5">
        <v>1</v>
      </c>
      <c r="N18" s="27">
        <v>1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2:28" x14ac:dyDescent="0.25">
      <c r="B19" s="37" t="s">
        <v>56</v>
      </c>
      <c r="C19" s="5">
        <v>16</v>
      </c>
      <c r="D19" s="5">
        <v>15</v>
      </c>
      <c r="E19" s="5">
        <v>15</v>
      </c>
      <c r="F19" s="5">
        <v>19</v>
      </c>
      <c r="G19" s="5">
        <v>18</v>
      </c>
      <c r="H19" s="5">
        <v>18</v>
      </c>
      <c r="I19" s="5">
        <v>18</v>
      </c>
      <c r="J19" s="5">
        <v>18</v>
      </c>
      <c r="K19" s="5">
        <v>16</v>
      </c>
      <c r="L19" s="5">
        <v>16</v>
      </c>
      <c r="M19" s="5">
        <v>16</v>
      </c>
      <c r="N19" s="27">
        <v>17</v>
      </c>
    </row>
    <row r="20" spans="2:28" x14ac:dyDescent="0.25">
      <c r="B20" s="37" t="s">
        <v>233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27">
        <v>1</v>
      </c>
    </row>
    <row r="21" spans="2:28" ht="18.75" x14ac:dyDescent="0.3">
      <c r="B21" s="37" t="s">
        <v>45</v>
      </c>
      <c r="C21" s="5">
        <v>9</v>
      </c>
      <c r="D21" s="5">
        <v>9</v>
      </c>
      <c r="E21" s="5">
        <v>9</v>
      </c>
      <c r="F21" s="5">
        <v>10</v>
      </c>
      <c r="G21" s="5">
        <v>10</v>
      </c>
      <c r="H21" s="5">
        <v>10</v>
      </c>
      <c r="I21" s="5">
        <v>10</v>
      </c>
      <c r="J21" s="5">
        <v>9</v>
      </c>
      <c r="K21" s="5">
        <v>9</v>
      </c>
      <c r="L21" s="5">
        <v>9</v>
      </c>
      <c r="M21" s="5">
        <v>9</v>
      </c>
      <c r="N21" s="27">
        <v>9</v>
      </c>
      <c r="P21" s="46"/>
      <c r="Q21" s="67" t="s">
        <v>592</v>
      </c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8"/>
    </row>
    <row r="22" spans="2:28" x14ac:dyDescent="0.25">
      <c r="B22" s="38" t="s">
        <v>40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39">
        <v>0</v>
      </c>
      <c r="P22" s="36"/>
      <c r="Q22" s="14" t="s">
        <v>510</v>
      </c>
      <c r="R22" s="14" t="s">
        <v>511</v>
      </c>
      <c r="S22" s="14" t="s">
        <v>512</v>
      </c>
      <c r="T22" s="14" t="s">
        <v>513</v>
      </c>
      <c r="U22" s="14" t="s">
        <v>514</v>
      </c>
      <c r="V22" s="14" t="s">
        <v>515</v>
      </c>
      <c r="W22" s="14" t="s">
        <v>516</v>
      </c>
      <c r="X22" s="14" t="s">
        <v>517</v>
      </c>
      <c r="Y22" s="14" t="s">
        <v>518</v>
      </c>
      <c r="Z22" s="14" t="s">
        <v>519</v>
      </c>
      <c r="AA22" s="14" t="s">
        <v>520</v>
      </c>
      <c r="AB22" s="45" t="s">
        <v>521</v>
      </c>
    </row>
    <row r="23" spans="2:28" x14ac:dyDescent="0.25">
      <c r="B23" s="10" t="s">
        <v>523</v>
      </c>
      <c r="C23" s="9">
        <f t="shared" ref="C23:N23" si="5">SUM(C16:C22)</f>
        <v>122</v>
      </c>
      <c r="D23" s="9">
        <f t="shared" si="5"/>
        <v>117</v>
      </c>
      <c r="E23" s="9">
        <f t="shared" si="5"/>
        <v>115</v>
      </c>
      <c r="F23" s="9">
        <f t="shared" si="5"/>
        <v>121</v>
      </c>
      <c r="G23" s="9">
        <f t="shared" si="5"/>
        <v>119</v>
      </c>
      <c r="H23" s="9">
        <f t="shared" si="5"/>
        <v>119</v>
      </c>
      <c r="I23" s="9">
        <f t="shared" si="5"/>
        <v>121</v>
      </c>
      <c r="J23" s="9">
        <f t="shared" si="5"/>
        <v>117</v>
      </c>
      <c r="K23" s="9">
        <f t="shared" si="5"/>
        <v>114</v>
      </c>
      <c r="L23" s="9">
        <f t="shared" si="5"/>
        <v>105</v>
      </c>
      <c r="M23" s="9">
        <f t="shared" si="5"/>
        <v>108</v>
      </c>
      <c r="N23" s="9">
        <f t="shared" si="5"/>
        <v>107</v>
      </c>
      <c r="P23" s="26" t="s">
        <v>541</v>
      </c>
      <c r="Q23" s="6">
        <v>244.6</v>
      </c>
      <c r="R23" s="6">
        <v>330</v>
      </c>
      <c r="S23" s="6">
        <v>435</v>
      </c>
      <c r="T23" s="6">
        <v>346</v>
      </c>
      <c r="U23" s="6">
        <v>426</v>
      </c>
      <c r="V23" s="6">
        <v>399</v>
      </c>
      <c r="W23" s="6">
        <v>291.8</v>
      </c>
      <c r="X23" s="6">
        <v>348</v>
      </c>
      <c r="Y23" s="6">
        <v>351.75</v>
      </c>
      <c r="Z23" s="6">
        <v>351.75</v>
      </c>
      <c r="AA23" s="6">
        <v>217.75</v>
      </c>
      <c r="AB23" s="49">
        <v>123.5</v>
      </c>
    </row>
    <row r="24" spans="2:28" x14ac:dyDescent="0.25">
      <c r="B24" s="11" t="s">
        <v>525</v>
      </c>
      <c r="C24" s="12">
        <f t="shared" ref="C24:N24" si="6">100/C11*C23*0.01</f>
        <v>0.47470817120622572</v>
      </c>
      <c r="D24" s="12">
        <f t="shared" si="6"/>
        <v>0.45348837209302334</v>
      </c>
      <c r="E24" s="12">
        <f t="shared" si="6"/>
        <v>0.44747081712062253</v>
      </c>
      <c r="F24" s="12">
        <f t="shared" si="6"/>
        <v>0.46007604562737642</v>
      </c>
      <c r="G24" s="12">
        <f t="shared" si="6"/>
        <v>0.44569288389513112</v>
      </c>
      <c r="H24" s="12">
        <f t="shared" si="6"/>
        <v>0.44402985074626872</v>
      </c>
      <c r="I24" s="12">
        <f t="shared" si="6"/>
        <v>0.44649446494464945</v>
      </c>
      <c r="J24" s="12">
        <f t="shared" si="6"/>
        <v>0.44150943396226416</v>
      </c>
      <c r="K24" s="12">
        <f t="shared" si="6"/>
        <v>0.43181818181818182</v>
      </c>
      <c r="L24" s="12">
        <f t="shared" si="6"/>
        <v>0.39473684210526316</v>
      </c>
      <c r="M24" s="12">
        <f t="shared" si="6"/>
        <v>0.40298507462686572</v>
      </c>
      <c r="N24" s="12">
        <f t="shared" si="6"/>
        <v>0.39338235294117652</v>
      </c>
      <c r="P24" s="50" t="s">
        <v>540</v>
      </c>
      <c r="Q24" s="21">
        <v>169.2</v>
      </c>
      <c r="R24" s="21">
        <v>251</v>
      </c>
      <c r="S24" s="21">
        <v>377</v>
      </c>
      <c r="T24" s="21">
        <v>221</v>
      </c>
      <c r="U24" s="21">
        <v>338</v>
      </c>
      <c r="V24" s="21">
        <v>174</v>
      </c>
      <c r="W24" s="21">
        <v>258.75</v>
      </c>
      <c r="X24" s="21">
        <v>177.5</v>
      </c>
      <c r="Y24" s="21">
        <v>307.75</v>
      </c>
      <c r="Z24" s="21">
        <v>237.75</v>
      </c>
      <c r="AA24" s="21">
        <v>162</v>
      </c>
      <c r="AB24" s="51">
        <v>185.5</v>
      </c>
    </row>
    <row r="25" spans="2:28" x14ac:dyDescent="0.25">
      <c r="B25" s="180" t="s">
        <v>1134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P25" s="23" t="s">
        <v>570</v>
      </c>
      <c r="Q25" s="52">
        <f t="shared" ref="Q25:V25" si="7">Q24/Q23</f>
        <v>0.69174161896974651</v>
      </c>
      <c r="R25" s="52">
        <f t="shared" si="7"/>
        <v>0.76060606060606062</v>
      </c>
      <c r="S25" s="52">
        <f t="shared" si="7"/>
        <v>0.8666666666666667</v>
      </c>
      <c r="T25" s="52">
        <f t="shared" si="7"/>
        <v>0.63872832369942201</v>
      </c>
      <c r="U25" s="52">
        <f t="shared" si="7"/>
        <v>0.79342723004694837</v>
      </c>
      <c r="V25" s="52">
        <f t="shared" si="7"/>
        <v>0.43609022556390975</v>
      </c>
      <c r="W25" s="52">
        <f t="shared" ref="W25:AB25" si="8">W24/W23</f>
        <v>0.88673749143248792</v>
      </c>
      <c r="X25" s="52">
        <f t="shared" si="8"/>
        <v>0.51005747126436785</v>
      </c>
      <c r="Y25" s="52">
        <f t="shared" si="8"/>
        <v>0.87491115849324808</v>
      </c>
      <c r="Z25" s="52">
        <f t="shared" si="8"/>
        <v>0.67590618336886998</v>
      </c>
      <c r="AA25" s="52">
        <f t="shared" si="8"/>
        <v>0.74397244546498276</v>
      </c>
      <c r="AB25" s="52">
        <f t="shared" si="8"/>
        <v>1.5020242914979758</v>
      </c>
    </row>
    <row r="26" spans="2:28" ht="18.75" x14ac:dyDescent="0.3">
      <c r="B26" s="33"/>
      <c r="C26" s="67" t="s">
        <v>585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P26" s="22" t="s">
        <v>542</v>
      </c>
    </row>
    <row r="27" spans="2:28" x14ac:dyDescent="0.25">
      <c r="B27" s="36"/>
      <c r="C27" s="8" t="s">
        <v>510</v>
      </c>
      <c r="D27" s="8" t="s">
        <v>511</v>
      </c>
      <c r="E27" s="8" t="s">
        <v>512</v>
      </c>
      <c r="F27" s="8" t="s">
        <v>513</v>
      </c>
      <c r="G27" s="8" t="s">
        <v>514</v>
      </c>
      <c r="H27" s="8" t="s">
        <v>515</v>
      </c>
      <c r="I27" s="8" t="s">
        <v>516</v>
      </c>
      <c r="J27" s="8" t="s">
        <v>517</v>
      </c>
      <c r="K27" s="8" t="s">
        <v>518</v>
      </c>
      <c r="L27" s="8" t="s">
        <v>519</v>
      </c>
      <c r="M27" s="8" t="s">
        <v>520</v>
      </c>
      <c r="N27" s="25" t="s">
        <v>521</v>
      </c>
    </row>
    <row r="28" spans="2:28" ht="18.75" x14ac:dyDescent="0.3">
      <c r="B28" s="37" t="s">
        <v>35</v>
      </c>
      <c r="C28" s="5">
        <v>44042</v>
      </c>
      <c r="D28" s="5">
        <v>44042</v>
      </c>
      <c r="E28" s="5">
        <v>46242</v>
      </c>
      <c r="F28" s="5">
        <v>48663</v>
      </c>
      <c r="G28" s="5">
        <v>50101</v>
      </c>
      <c r="H28" s="5">
        <v>47484</v>
      </c>
      <c r="I28" s="5">
        <v>45201</v>
      </c>
      <c r="J28" s="5">
        <v>42932</v>
      </c>
      <c r="K28" s="187">
        <v>42274</v>
      </c>
      <c r="L28" s="99">
        <v>42496</v>
      </c>
      <c r="M28" s="5">
        <v>40613</v>
      </c>
      <c r="N28" s="27">
        <v>33536</v>
      </c>
      <c r="P28" s="103"/>
      <c r="Q28" s="104" t="s">
        <v>1260</v>
      </c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6"/>
    </row>
    <row r="29" spans="2:28" x14ac:dyDescent="0.25">
      <c r="B29" s="37" t="s">
        <v>30</v>
      </c>
      <c r="C29" s="5">
        <v>27629</v>
      </c>
      <c r="D29" s="5">
        <v>30513</v>
      </c>
      <c r="E29" s="5">
        <v>29809</v>
      </c>
      <c r="F29" s="5">
        <v>28826</v>
      </c>
      <c r="G29" s="5">
        <v>41395</v>
      </c>
      <c r="H29" s="5">
        <v>44012</v>
      </c>
      <c r="I29" s="5">
        <v>42699</v>
      </c>
      <c r="J29" s="5">
        <v>45410</v>
      </c>
      <c r="K29" s="5">
        <v>43213</v>
      </c>
      <c r="L29" s="5">
        <v>43213</v>
      </c>
      <c r="M29" s="5">
        <v>45713</v>
      </c>
      <c r="N29" s="27">
        <v>45937</v>
      </c>
      <c r="P29" s="36"/>
      <c r="Q29" s="14" t="s">
        <v>510</v>
      </c>
      <c r="R29" s="14" t="s">
        <v>511</v>
      </c>
      <c r="S29" s="14" t="s">
        <v>512</v>
      </c>
      <c r="T29" s="14" t="s">
        <v>513</v>
      </c>
      <c r="U29" s="14" t="s">
        <v>514</v>
      </c>
      <c r="V29" s="14" t="s">
        <v>515</v>
      </c>
      <c r="W29" s="14" t="s">
        <v>516</v>
      </c>
      <c r="X29" s="14" t="s">
        <v>517</v>
      </c>
      <c r="Y29" s="14" t="s">
        <v>518</v>
      </c>
      <c r="Z29" s="14" t="s">
        <v>519</v>
      </c>
      <c r="AA29" s="14" t="s">
        <v>520</v>
      </c>
      <c r="AB29" s="45" t="s">
        <v>521</v>
      </c>
    </row>
    <row r="30" spans="2:28" x14ac:dyDescent="0.25">
      <c r="B30" s="37" t="s">
        <v>38</v>
      </c>
      <c r="C30" s="5">
        <v>73482</v>
      </c>
      <c r="D30" s="5">
        <v>77225</v>
      </c>
      <c r="E30" s="5">
        <v>77225</v>
      </c>
      <c r="F30" s="5">
        <v>78374</v>
      </c>
      <c r="G30" s="5">
        <v>78374</v>
      </c>
      <c r="H30" s="5">
        <v>78374</v>
      </c>
      <c r="I30" s="5">
        <v>76214</v>
      </c>
      <c r="J30" s="5">
        <v>78334</v>
      </c>
      <c r="K30" s="5">
        <v>78334</v>
      </c>
      <c r="L30" s="99">
        <v>82974</v>
      </c>
      <c r="M30" s="5">
        <v>82974</v>
      </c>
      <c r="N30" s="27">
        <v>82974</v>
      </c>
      <c r="P30" s="53" t="s">
        <v>417</v>
      </c>
      <c r="Q30" s="54">
        <v>32</v>
      </c>
      <c r="R30">
        <v>29</v>
      </c>
      <c r="S30" s="54">
        <v>30</v>
      </c>
      <c r="T30" s="54">
        <v>9</v>
      </c>
      <c r="U30" s="54">
        <v>11</v>
      </c>
      <c r="V30" s="54">
        <v>16</v>
      </c>
      <c r="W30" s="54">
        <v>14</v>
      </c>
      <c r="X30" s="54">
        <v>9</v>
      </c>
      <c r="Y30" s="54">
        <v>21</v>
      </c>
      <c r="Z30" s="54">
        <v>15</v>
      </c>
      <c r="AA30" s="54">
        <v>15</v>
      </c>
      <c r="AB30" s="62">
        <v>25</v>
      </c>
    </row>
    <row r="31" spans="2:28" x14ac:dyDescent="0.25">
      <c r="B31" s="37" t="s">
        <v>56</v>
      </c>
      <c r="C31" s="5">
        <v>11970</v>
      </c>
      <c r="D31" s="5">
        <v>14447</v>
      </c>
      <c r="E31" s="5">
        <v>15385</v>
      </c>
      <c r="F31" s="5">
        <v>4430</v>
      </c>
      <c r="G31" s="5">
        <v>4651</v>
      </c>
      <c r="H31" s="5">
        <v>5651</v>
      </c>
      <c r="I31" s="5">
        <v>5651</v>
      </c>
      <c r="J31" s="5">
        <v>1015</v>
      </c>
      <c r="K31" s="5">
        <v>8252</v>
      </c>
      <c r="L31" s="5">
        <v>8252</v>
      </c>
      <c r="M31" s="5">
        <v>12188</v>
      </c>
      <c r="N31" s="27">
        <v>16382</v>
      </c>
      <c r="P31" s="53" t="s">
        <v>44</v>
      </c>
      <c r="Q31" s="54">
        <v>59</v>
      </c>
      <c r="R31">
        <v>61</v>
      </c>
      <c r="S31" s="54">
        <v>66</v>
      </c>
      <c r="T31" s="54">
        <v>70</v>
      </c>
      <c r="U31" s="54">
        <v>65</v>
      </c>
      <c r="V31" s="54">
        <v>76</v>
      </c>
      <c r="W31" s="54">
        <v>39</v>
      </c>
      <c r="X31" s="54">
        <v>21</v>
      </c>
      <c r="Y31" s="54">
        <v>42</v>
      </c>
      <c r="Z31" s="54">
        <v>27</v>
      </c>
      <c r="AA31" s="54">
        <v>40</v>
      </c>
      <c r="AB31" s="62">
        <v>25</v>
      </c>
    </row>
    <row r="32" spans="2:28" x14ac:dyDescent="0.25">
      <c r="B32" s="37" t="s">
        <v>233</v>
      </c>
      <c r="C32" s="5">
        <v>-1613</v>
      </c>
      <c r="D32" s="5">
        <v>-1613</v>
      </c>
      <c r="E32" s="5">
        <v>-1613</v>
      </c>
      <c r="F32" s="5">
        <v>-1613</v>
      </c>
      <c r="G32" s="5">
        <v>-1613</v>
      </c>
      <c r="H32" s="5">
        <v>-1613</v>
      </c>
      <c r="I32" s="5">
        <v>-1613</v>
      </c>
      <c r="J32" s="99">
        <v>-1613</v>
      </c>
      <c r="K32" s="99">
        <v>-1613</v>
      </c>
      <c r="L32" s="99">
        <v>-1613</v>
      </c>
      <c r="M32" s="5">
        <v>-1613</v>
      </c>
      <c r="N32" s="27">
        <v>-1613</v>
      </c>
      <c r="P32" s="53" t="s">
        <v>272</v>
      </c>
      <c r="Q32" s="54">
        <v>94</v>
      </c>
      <c r="R32" s="1">
        <v>171</v>
      </c>
      <c r="S32" s="54">
        <v>165</v>
      </c>
      <c r="T32" s="54">
        <v>101</v>
      </c>
      <c r="U32" s="54">
        <v>81</v>
      </c>
      <c r="V32" s="54">
        <v>113</v>
      </c>
      <c r="W32" s="54">
        <v>88</v>
      </c>
      <c r="X32" s="54">
        <v>133</v>
      </c>
      <c r="Y32" s="54">
        <v>96</v>
      </c>
      <c r="Z32" s="54">
        <v>84</v>
      </c>
      <c r="AA32" s="54">
        <v>73</v>
      </c>
      <c r="AB32" s="62">
        <v>40</v>
      </c>
    </row>
    <row r="33" spans="2:28" x14ac:dyDescent="0.25">
      <c r="B33" s="37" t="s">
        <v>45</v>
      </c>
      <c r="C33" s="5">
        <f>149520-30000</f>
        <v>119520</v>
      </c>
      <c r="D33" s="5">
        <f>149521-30000</f>
        <v>119521</v>
      </c>
      <c r="E33" s="5">
        <f>142260-30000</f>
        <v>112260</v>
      </c>
      <c r="F33" s="5">
        <v>112549</v>
      </c>
      <c r="G33" s="5">
        <v>106892</v>
      </c>
      <c r="H33" s="5">
        <v>106892</v>
      </c>
      <c r="I33" s="5">
        <v>106892</v>
      </c>
      <c r="J33" s="5">
        <v>107075</v>
      </c>
      <c r="K33" s="5">
        <v>112066</v>
      </c>
      <c r="L33" s="5">
        <v>112066</v>
      </c>
      <c r="M33" s="5">
        <v>112066</v>
      </c>
      <c r="N33" s="27">
        <v>114265</v>
      </c>
      <c r="P33" s="53" t="s">
        <v>544</v>
      </c>
      <c r="Q33" s="55">
        <v>6</v>
      </c>
      <c r="R33">
        <v>13</v>
      </c>
      <c r="S33" s="54">
        <v>13</v>
      </c>
      <c r="T33" s="54">
        <v>8</v>
      </c>
      <c r="U33" s="54">
        <v>8</v>
      </c>
      <c r="V33" s="54">
        <v>11</v>
      </c>
      <c r="W33" s="54">
        <v>8</v>
      </c>
      <c r="X33" s="54">
        <v>7</v>
      </c>
      <c r="Y33" s="54">
        <v>6</v>
      </c>
      <c r="Z33" s="54">
        <v>13</v>
      </c>
      <c r="AA33" s="54">
        <v>11</v>
      </c>
      <c r="AB33" s="62">
        <v>11</v>
      </c>
    </row>
    <row r="34" spans="2:28" x14ac:dyDescent="0.25">
      <c r="B34" s="38" t="s">
        <v>40</v>
      </c>
      <c r="C34" s="7">
        <v>2500</v>
      </c>
      <c r="D34" s="7">
        <v>2500</v>
      </c>
      <c r="E34" s="7">
        <v>2500</v>
      </c>
      <c r="F34" s="7">
        <v>2500</v>
      </c>
      <c r="G34" s="7">
        <v>2500</v>
      </c>
      <c r="H34" s="7">
        <v>2500</v>
      </c>
      <c r="I34" s="7">
        <v>2500</v>
      </c>
      <c r="J34" s="7">
        <v>2500</v>
      </c>
      <c r="K34" s="7">
        <v>2500</v>
      </c>
      <c r="L34" s="7">
        <v>2500</v>
      </c>
      <c r="M34" s="7">
        <v>2500</v>
      </c>
      <c r="N34" s="39">
        <v>2500</v>
      </c>
      <c r="P34" s="53" t="s">
        <v>545</v>
      </c>
      <c r="Q34" s="55">
        <v>17</v>
      </c>
      <c r="R34">
        <v>30</v>
      </c>
      <c r="S34" s="54">
        <v>31</v>
      </c>
      <c r="T34" s="54">
        <v>18</v>
      </c>
      <c r="U34" s="54">
        <v>11</v>
      </c>
      <c r="V34" s="54">
        <v>26</v>
      </c>
      <c r="W34" s="54">
        <v>23</v>
      </c>
      <c r="X34" s="54">
        <v>8</v>
      </c>
      <c r="Y34" s="54">
        <v>7</v>
      </c>
      <c r="Z34" s="54">
        <v>22</v>
      </c>
      <c r="AA34" s="54">
        <v>11</v>
      </c>
      <c r="AB34" s="62">
        <v>19</v>
      </c>
    </row>
    <row r="35" spans="2:28" x14ac:dyDescent="0.25">
      <c r="B35" s="10" t="s">
        <v>524</v>
      </c>
      <c r="C35" s="13">
        <f>SUM(C28:C34)</f>
        <v>277530</v>
      </c>
      <c r="D35" s="13">
        <f>SUM(D28:D34)</f>
        <v>286635</v>
      </c>
      <c r="E35" s="13">
        <f t="shared" ref="E35:N35" si="9">SUM(E28:E34)</f>
        <v>281808</v>
      </c>
      <c r="F35" s="13">
        <f t="shared" si="9"/>
        <v>273729</v>
      </c>
      <c r="G35" s="13">
        <f t="shared" si="9"/>
        <v>282300</v>
      </c>
      <c r="H35" s="13">
        <f t="shared" si="9"/>
        <v>283300</v>
      </c>
      <c r="I35" s="13">
        <f t="shared" si="9"/>
        <v>277544</v>
      </c>
      <c r="J35" s="13">
        <f t="shared" si="9"/>
        <v>275653</v>
      </c>
      <c r="K35" s="13">
        <f t="shared" si="9"/>
        <v>285026</v>
      </c>
      <c r="L35" s="13">
        <f t="shared" si="9"/>
        <v>289888</v>
      </c>
      <c r="M35" s="13">
        <f t="shared" si="9"/>
        <v>294441</v>
      </c>
      <c r="N35" s="13">
        <f t="shared" si="9"/>
        <v>293981</v>
      </c>
      <c r="P35" s="53" t="s">
        <v>546</v>
      </c>
      <c r="Q35" s="55">
        <v>47</v>
      </c>
      <c r="R35">
        <v>45</v>
      </c>
      <c r="S35" s="54">
        <v>30</v>
      </c>
      <c r="T35" s="54">
        <v>34</v>
      </c>
      <c r="U35" s="54">
        <v>54</v>
      </c>
      <c r="V35" s="54">
        <v>27</v>
      </c>
      <c r="W35" s="54">
        <v>25</v>
      </c>
      <c r="X35" s="54">
        <v>28</v>
      </c>
      <c r="Y35" s="54">
        <v>20</v>
      </c>
      <c r="Z35" s="54">
        <v>27</v>
      </c>
      <c r="AA35" s="54">
        <v>25</v>
      </c>
      <c r="AB35" s="62">
        <v>12</v>
      </c>
    </row>
    <row r="36" spans="2:28" x14ac:dyDescent="0.25">
      <c r="B36" s="180" t="s">
        <v>1134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P36" s="53" t="s">
        <v>52</v>
      </c>
      <c r="Q36" s="55">
        <v>33</v>
      </c>
      <c r="R36">
        <v>32</v>
      </c>
      <c r="S36" s="54">
        <v>33</v>
      </c>
      <c r="T36" s="54">
        <v>46</v>
      </c>
      <c r="U36" s="54">
        <v>56</v>
      </c>
      <c r="V36" s="54">
        <v>33</v>
      </c>
      <c r="W36" s="54">
        <v>26</v>
      </c>
      <c r="X36" s="54">
        <v>49</v>
      </c>
      <c r="Y36" s="54">
        <v>31</v>
      </c>
      <c r="Z36" s="54">
        <v>39</v>
      </c>
      <c r="AA36" s="54">
        <v>38</v>
      </c>
      <c r="AB36" s="62">
        <v>24</v>
      </c>
    </row>
    <row r="37" spans="2:28" ht="18.75" x14ac:dyDescent="0.3">
      <c r="B37" s="33"/>
      <c r="C37" s="67" t="s">
        <v>584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P37" s="53" t="s">
        <v>87</v>
      </c>
      <c r="Q37" s="55">
        <v>12</v>
      </c>
      <c r="R37">
        <v>18</v>
      </c>
      <c r="S37" s="54">
        <v>33</v>
      </c>
      <c r="T37" s="54">
        <v>30</v>
      </c>
      <c r="U37" s="54">
        <v>23</v>
      </c>
      <c r="V37" s="54">
        <v>17</v>
      </c>
      <c r="W37" s="54">
        <v>12</v>
      </c>
      <c r="X37" s="54">
        <v>20</v>
      </c>
      <c r="Y37" s="54">
        <v>16</v>
      </c>
      <c r="Z37" s="54">
        <v>27</v>
      </c>
      <c r="AA37" s="54">
        <v>26</v>
      </c>
      <c r="AB37" s="62">
        <v>21</v>
      </c>
    </row>
    <row r="38" spans="2:28" x14ac:dyDescent="0.25">
      <c r="B38" s="44"/>
      <c r="C38" s="8" t="s">
        <v>510</v>
      </c>
      <c r="D38" s="8" t="s">
        <v>511</v>
      </c>
      <c r="E38" s="8" t="s">
        <v>512</v>
      </c>
      <c r="F38" s="8" t="s">
        <v>513</v>
      </c>
      <c r="G38" s="8" t="s">
        <v>514</v>
      </c>
      <c r="H38" s="8" t="s">
        <v>515</v>
      </c>
      <c r="I38" s="8" t="s">
        <v>516</v>
      </c>
      <c r="J38" s="8" t="s">
        <v>517</v>
      </c>
      <c r="K38" s="8" t="s">
        <v>518</v>
      </c>
      <c r="L38" s="8" t="s">
        <v>519</v>
      </c>
      <c r="M38" s="8" t="s">
        <v>520</v>
      </c>
      <c r="N38" s="25" t="s">
        <v>521</v>
      </c>
      <c r="P38" s="53" t="s">
        <v>547</v>
      </c>
      <c r="Q38" s="55">
        <v>15</v>
      </c>
      <c r="R38">
        <v>25</v>
      </c>
      <c r="S38" s="54">
        <v>16</v>
      </c>
      <c r="T38" s="54">
        <v>17</v>
      </c>
      <c r="U38" s="54">
        <v>13</v>
      </c>
      <c r="V38" s="54">
        <v>10</v>
      </c>
      <c r="W38" s="63">
        <v>13</v>
      </c>
      <c r="X38" s="54">
        <v>10</v>
      </c>
      <c r="Y38" s="54">
        <v>20</v>
      </c>
      <c r="Z38" s="54">
        <v>21</v>
      </c>
      <c r="AA38" s="54">
        <v>23</v>
      </c>
      <c r="AB38" s="62">
        <v>13</v>
      </c>
    </row>
    <row r="39" spans="2:28" x14ac:dyDescent="0.25">
      <c r="B39" s="37" t="s">
        <v>35</v>
      </c>
      <c r="C39" s="5">
        <f>44042+264239</f>
        <v>308281</v>
      </c>
      <c r="D39" s="86">
        <v>308281</v>
      </c>
      <c r="E39" s="5">
        <v>310481</v>
      </c>
      <c r="F39" s="5">
        <v>316481</v>
      </c>
      <c r="G39" s="5">
        <v>335614</v>
      </c>
      <c r="H39" s="5">
        <v>329614</v>
      </c>
      <c r="I39" s="5">
        <v>318314</v>
      </c>
      <c r="J39" s="97">
        <v>331574</v>
      </c>
      <c r="K39" s="5">
        <v>330713</v>
      </c>
      <c r="L39" s="5">
        <v>341213</v>
      </c>
      <c r="M39" s="5">
        <v>341213</v>
      </c>
      <c r="N39">
        <v>331213</v>
      </c>
      <c r="P39" s="53" t="s">
        <v>180</v>
      </c>
      <c r="Q39" s="55">
        <v>9</v>
      </c>
      <c r="R39">
        <v>9</v>
      </c>
      <c r="S39" s="54">
        <v>6</v>
      </c>
      <c r="T39" s="54">
        <v>7</v>
      </c>
      <c r="U39" s="54">
        <v>4</v>
      </c>
      <c r="V39" s="54">
        <v>5</v>
      </c>
      <c r="W39" s="54">
        <v>7</v>
      </c>
      <c r="X39" s="54">
        <v>5</v>
      </c>
      <c r="Y39" s="54">
        <v>8</v>
      </c>
      <c r="Z39" s="54">
        <v>10</v>
      </c>
      <c r="AA39" s="54">
        <v>11</v>
      </c>
      <c r="AB39" s="62">
        <v>19</v>
      </c>
    </row>
    <row r="40" spans="2:28" x14ac:dyDescent="0.25">
      <c r="B40" s="37" t="s">
        <v>30</v>
      </c>
      <c r="C40" s="5">
        <f>27629+263245</f>
        <v>290874</v>
      </c>
      <c r="D40" s="86">
        <v>296741</v>
      </c>
      <c r="E40" s="5">
        <v>292271</v>
      </c>
      <c r="F40" s="5">
        <v>294771</v>
      </c>
      <c r="G40" s="5">
        <v>304601</v>
      </c>
      <c r="H40" s="5">
        <v>314101</v>
      </c>
      <c r="I40" s="5">
        <v>314551</v>
      </c>
      <c r="J40" s="199">
        <v>314351</v>
      </c>
      <c r="K40" s="5">
        <v>310151</v>
      </c>
      <c r="L40" s="99">
        <v>310151</v>
      </c>
      <c r="M40" s="5">
        <v>312651</v>
      </c>
      <c r="N40" s="27">
        <v>312899</v>
      </c>
      <c r="P40" s="53" t="s">
        <v>126</v>
      </c>
      <c r="Q40" s="55">
        <v>8</v>
      </c>
      <c r="R40">
        <v>14</v>
      </c>
      <c r="S40" s="54">
        <v>18</v>
      </c>
      <c r="T40" s="54">
        <v>15</v>
      </c>
      <c r="U40" s="54">
        <v>16</v>
      </c>
      <c r="V40" s="54">
        <v>13</v>
      </c>
      <c r="W40" s="54">
        <v>10</v>
      </c>
      <c r="X40" s="54">
        <v>3</v>
      </c>
      <c r="Y40" s="54">
        <v>5</v>
      </c>
      <c r="Z40" s="54">
        <v>4</v>
      </c>
      <c r="AA40" s="54">
        <v>3</v>
      </c>
      <c r="AB40" s="62">
        <v>3</v>
      </c>
    </row>
    <row r="41" spans="2:28" x14ac:dyDescent="0.25">
      <c r="B41" s="37" t="s">
        <v>38</v>
      </c>
      <c r="C41" s="5">
        <f>73482+81151</f>
        <v>154633</v>
      </c>
      <c r="D41" s="86">
        <v>155293</v>
      </c>
      <c r="E41" s="5">
        <v>155293</v>
      </c>
      <c r="F41" s="5">
        <v>157042</v>
      </c>
      <c r="G41" s="5">
        <v>157042</v>
      </c>
      <c r="H41" s="5">
        <v>157042</v>
      </c>
      <c r="I41" s="5">
        <v>157043</v>
      </c>
      <c r="J41" s="199">
        <v>202442</v>
      </c>
      <c r="K41" s="199">
        <v>202442</v>
      </c>
      <c r="L41" s="99">
        <v>202442</v>
      </c>
      <c r="M41" s="5">
        <v>202442</v>
      </c>
      <c r="N41" s="27">
        <v>202808</v>
      </c>
      <c r="P41" s="64" t="s">
        <v>548</v>
      </c>
      <c r="Q41" s="65">
        <f t="shared" ref="Q41:Y41" si="10">SUM(Q30:Q40)</f>
        <v>332</v>
      </c>
      <c r="R41" s="65">
        <f t="shared" si="10"/>
        <v>447</v>
      </c>
      <c r="S41" s="65">
        <f t="shared" si="10"/>
        <v>441</v>
      </c>
      <c r="T41" s="65">
        <f t="shared" si="10"/>
        <v>355</v>
      </c>
      <c r="U41" s="65">
        <f t="shared" si="10"/>
        <v>342</v>
      </c>
      <c r="V41" s="65">
        <f t="shared" si="10"/>
        <v>347</v>
      </c>
      <c r="W41" s="65">
        <f t="shared" si="10"/>
        <v>265</v>
      </c>
      <c r="X41" s="65">
        <f t="shared" si="10"/>
        <v>293</v>
      </c>
      <c r="Y41" s="65">
        <f t="shared" si="10"/>
        <v>272</v>
      </c>
      <c r="Z41" s="65">
        <f t="shared" ref="Z41" si="11">SUM(Z30:Z40)</f>
        <v>289</v>
      </c>
      <c r="AA41" s="65">
        <v>276</v>
      </c>
      <c r="AB41" s="65">
        <f>SUM(AB30:AB40)</f>
        <v>212</v>
      </c>
    </row>
    <row r="42" spans="2:28" x14ac:dyDescent="0.25">
      <c r="B42" s="37" t="s">
        <v>56</v>
      </c>
      <c r="C42" s="5">
        <f>11970+114897</f>
        <v>126867</v>
      </c>
      <c r="D42" s="86">
        <v>129368</v>
      </c>
      <c r="E42" s="5">
        <v>134369</v>
      </c>
      <c r="F42" s="5">
        <v>138418</v>
      </c>
      <c r="G42" s="5">
        <v>141819</v>
      </c>
      <c r="H42" s="5">
        <v>141007</v>
      </c>
      <c r="I42" s="5">
        <v>139974</v>
      </c>
      <c r="J42" s="199">
        <v>133820</v>
      </c>
      <c r="K42" s="5">
        <v>145819</v>
      </c>
      <c r="L42" s="5">
        <v>145820</v>
      </c>
      <c r="M42" s="5">
        <v>153819</v>
      </c>
      <c r="N42" s="99">
        <v>164319</v>
      </c>
      <c r="P42" s="180" t="s">
        <v>1135</v>
      </c>
    </row>
    <row r="43" spans="2:28" ht="18.75" x14ac:dyDescent="0.3">
      <c r="B43" s="37" t="s">
        <v>233</v>
      </c>
      <c r="C43" s="5">
        <v>150</v>
      </c>
      <c r="D43" s="86">
        <v>150</v>
      </c>
      <c r="E43" s="86">
        <v>150</v>
      </c>
      <c r="F43" s="5">
        <v>150</v>
      </c>
      <c r="G43" s="5">
        <v>150</v>
      </c>
      <c r="H43" s="5">
        <v>150</v>
      </c>
      <c r="I43" s="5">
        <v>150</v>
      </c>
      <c r="J43" s="199">
        <v>150</v>
      </c>
      <c r="K43" s="5">
        <v>150</v>
      </c>
      <c r="L43" s="5">
        <v>150</v>
      </c>
      <c r="M43" s="5">
        <v>150</v>
      </c>
      <c r="N43" s="27">
        <v>150</v>
      </c>
      <c r="P43" s="103"/>
      <c r="Q43" s="104" t="s">
        <v>565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6"/>
    </row>
    <row r="44" spans="2:28" x14ac:dyDescent="0.25">
      <c r="B44" s="37" t="s">
        <v>45</v>
      </c>
      <c r="C44" s="5">
        <f>149520+57328-30000</f>
        <v>176848</v>
      </c>
      <c r="D44" s="86">
        <f>206849-30000</f>
        <v>176849</v>
      </c>
      <c r="E44" s="5">
        <f>199349-30000</f>
        <v>169349</v>
      </c>
      <c r="F44" s="5">
        <v>170949</v>
      </c>
      <c r="G44" s="5">
        <v>161449</v>
      </c>
      <c r="H44" s="5">
        <v>161449</v>
      </c>
      <c r="I44" s="5">
        <v>161449</v>
      </c>
      <c r="J44" s="5">
        <v>158149</v>
      </c>
      <c r="K44" s="5">
        <v>163139</v>
      </c>
      <c r="L44" s="99">
        <v>163139</v>
      </c>
      <c r="M44" s="5">
        <v>163139</v>
      </c>
      <c r="N44" s="27">
        <v>165339</v>
      </c>
      <c r="P44" s="36"/>
      <c r="Q44" s="14" t="s">
        <v>510</v>
      </c>
      <c r="R44" s="14" t="s">
        <v>511</v>
      </c>
      <c r="S44" s="14" t="s">
        <v>512</v>
      </c>
      <c r="T44" s="14" t="s">
        <v>513</v>
      </c>
      <c r="U44" s="14" t="s">
        <v>514</v>
      </c>
      <c r="V44" s="14" t="s">
        <v>515</v>
      </c>
      <c r="W44" s="14" t="s">
        <v>516</v>
      </c>
      <c r="X44" s="14" t="s">
        <v>517</v>
      </c>
      <c r="Y44" s="14" t="s">
        <v>518</v>
      </c>
      <c r="Z44" s="14" t="s">
        <v>519</v>
      </c>
      <c r="AA44" s="14" t="s">
        <v>520</v>
      </c>
      <c r="AB44" s="45" t="s">
        <v>521</v>
      </c>
    </row>
    <row r="45" spans="2:28" x14ac:dyDescent="0.25">
      <c r="B45" s="38" t="s">
        <v>40</v>
      </c>
      <c r="C45" s="7">
        <v>2500</v>
      </c>
      <c r="D45" s="87">
        <v>2500</v>
      </c>
      <c r="E45" s="87">
        <v>2500</v>
      </c>
      <c r="F45" s="7">
        <v>2500</v>
      </c>
      <c r="G45" s="7">
        <v>2500</v>
      </c>
      <c r="H45" s="5">
        <v>2500</v>
      </c>
      <c r="I45" s="5">
        <v>2500</v>
      </c>
      <c r="J45" s="5">
        <v>2500</v>
      </c>
      <c r="K45" s="5">
        <v>2500</v>
      </c>
      <c r="L45" s="7">
        <v>2500</v>
      </c>
      <c r="M45" s="7">
        <v>2500</v>
      </c>
      <c r="N45" s="39">
        <v>2500</v>
      </c>
      <c r="P45" s="69" t="s">
        <v>566</v>
      </c>
      <c r="Q45" s="81">
        <f>443+92</f>
        <v>535</v>
      </c>
      <c r="R45" s="81">
        <f>564+121</f>
        <v>685</v>
      </c>
      <c r="S45" s="81">
        <f>157+861</f>
        <v>1018</v>
      </c>
      <c r="T45" s="114">
        <f>970+162</f>
        <v>1132</v>
      </c>
      <c r="U45" s="114">
        <f>704</f>
        <v>704</v>
      </c>
      <c r="V45" s="114">
        <v>589</v>
      </c>
      <c r="W45" s="114">
        <v>475</v>
      </c>
      <c r="X45" s="114">
        <v>621</v>
      </c>
      <c r="Y45" s="114">
        <v>441</v>
      </c>
      <c r="Z45" s="114">
        <v>467</v>
      </c>
      <c r="AA45" s="114">
        <v>446</v>
      </c>
      <c r="AB45" s="259">
        <v>344</v>
      </c>
    </row>
    <row r="46" spans="2:28" x14ac:dyDescent="0.25">
      <c r="B46" s="10" t="s">
        <v>524</v>
      </c>
      <c r="C46" s="13">
        <f t="shared" ref="C46:N46" si="12">SUM(C39:C45)</f>
        <v>1060153</v>
      </c>
      <c r="D46" s="13">
        <f t="shared" si="12"/>
        <v>1069182</v>
      </c>
      <c r="E46" s="13">
        <f t="shared" si="12"/>
        <v>1064413</v>
      </c>
      <c r="F46" s="13">
        <f t="shared" si="12"/>
        <v>1080311</v>
      </c>
      <c r="G46" s="13">
        <f t="shared" si="12"/>
        <v>1103175</v>
      </c>
      <c r="H46" s="198">
        <f t="shared" si="12"/>
        <v>1105863</v>
      </c>
      <c r="I46" s="198">
        <f t="shared" si="12"/>
        <v>1093981</v>
      </c>
      <c r="J46" s="198">
        <f t="shared" si="12"/>
        <v>1142986</v>
      </c>
      <c r="K46" s="198">
        <f t="shared" si="12"/>
        <v>1154914</v>
      </c>
      <c r="L46" s="13">
        <f t="shared" si="12"/>
        <v>1165415</v>
      </c>
      <c r="M46" s="13">
        <f t="shared" si="12"/>
        <v>1175914</v>
      </c>
      <c r="N46" s="13">
        <f t="shared" si="12"/>
        <v>1179228</v>
      </c>
    </row>
    <row r="47" spans="2:28" ht="18.75" x14ac:dyDescent="0.3">
      <c r="B47" s="180" t="s">
        <v>1134</v>
      </c>
      <c r="P47" s="89"/>
      <c r="Q47" s="90" t="s">
        <v>588</v>
      </c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</row>
    <row r="48" spans="2:28" ht="18.75" x14ac:dyDescent="0.3">
      <c r="B48" s="633" t="s">
        <v>538</v>
      </c>
      <c r="C48" s="634"/>
      <c r="D48" s="634"/>
      <c r="E48" s="634"/>
      <c r="F48" s="634"/>
      <c r="G48" s="634"/>
      <c r="H48" s="634"/>
      <c r="I48" s="634"/>
      <c r="J48" s="634"/>
      <c r="K48" s="634"/>
      <c r="L48" s="634"/>
      <c r="M48" s="634"/>
      <c r="N48" s="635"/>
      <c r="P48" s="93"/>
      <c r="Q48" s="191" t="s">
        <v>510</v>
      </c>
      <c r="R48" s="191" t="s">
        <v>511</v>
      </c>
      <c r="S48" s="191" t="s">
        <v>512</v>
      </c>
      <c r="T48" s="191" t="s">
        <v>513</v>
      </c>
      <c r="U48" s="191" t="s">
        <v>514</v>
      </c>
      <c r="V48" s="191" t="s">
        <v>515</v>
      </c>
      <c r="W48" s="191" t="s">
        <v>516</v>
      </c>
      <c r="X48" s="191" t="s">
        <v>517</v>
      </c>
      <c r="Y48" s="191" t="s">
        <v>518</v>
      </c>
      <c r="Z48" s="191" t="s">
        <v>519</v>
      </c>
      <c r="AA48" s="191" t="s">
        <v>520</v>
      </c>
      <c r="AB48" s="94" t="s">
        <v>521</v>
      </c>
    </row>
    <row r="49" spans="2:28" x14ac:dyDescent="0.25">
      <c r="B49" s="24" t="s">
        <v>539</v>
      </c>
      <c r="C49" s="8" t="s">
        <v>510</v>
      </c>
      <c r="D49" s="8" t="s">
        <v>511</v>
      </c>
      <c r="E49" s="8" t="s">
        <v>512</v>
      </c>
      <c r="F49" s="8" t="s">
        <v>513</v>
      </c>
      <c r="G49" s="8" t="s">
        <v>514</v>
      </c>
      <c r="H49" s="8" t="s">
        <v>515</v>
      </c>
      <c r="I49" s="8" t="s">
        <v>516</v>
      </c>
      <c r="J49" s="8" t="s">
        <v>517</v>
      </c>
      <c r="K49" s="8" t="s">
        <v>518</v>
      </c>
      <c r="L49" s="8" t="s">
        <v>519</v>
      </c>
      <c r="M49" s="8" t="s">
        <v>520</v>
      </c>
      <c r="N49" s="25" t="s">
        <v>521</v>
      </c>
      <c r="P49" s="181" t="s">
        <v>589</v>
      </c>
      <c r="Q49" s="107" t="s">
        <v>619</v>
      </c>
      <c r="R49" s="113" t="s">
        <v>620</v>
      </c>
      <c r="S49" s="109" t="s">
        <v>620</v>
      </c>
      <c r="T49" s="96"/>
      <c r="U49" s="96"/>
      <c r="V49" s="96"/>
      <c r="W49" s="96"/>
      <c r="X49" s="96"/>
      <c r="Y49" s="96"/>
      <c r="Z49" s="96"/>
      <c r="AA49" s="96"/>
      <c r="AB49" s="182"/>
    </row>
    <row r="50" spans="2:28" x14ac:dyDescent="0.25">
      <c r="B50" s="26" t="s">
        <v>567</v>
      </c>
      <c r="C50" s="130">
        <v>21</v>
      </c>
      <c r="D50" s="130">
        <v>21</v>
      </c>
      <c r="E50" s="130">
        <v>20</v>
      </c>
      <c r="F50" s="130">
        <v>19</v>
      </c>
      <c r="G50" s="130">
        <v>19</v>
      </c>
      <c r="H50" s="130">
        <v>19</v>
      </c>
      <c r="I50" s="130">
        <v>19</v>
      </c>
      <c r="J50" s="130">
        <v>19</v>
      </c>
      <c r="K50" s="130">
        <v>20</v>
      </c>
      <c r="L50" s="130">
        <v>20</v>
      </c>
      <c r="M50" s="130">
        <v>20</v>
      </c>
      <c r="N50" s="130">
        <v>19</v>
      </c>
      <c r="P50" s="181" t="s">
        <v>591</v>
      </c>
      <c r="Q50" s="95"/>
      <c r="R50" s="107" t="s">
        <v>619</v>
      </c>
      <c r="S50" s="107" t="s">
        <v>619</v>
      </c>
      <c r="T50" s="113" t="s">
        <v>620</v>
      </c>
      <c r="U50" s="109" t="s">
        <v>620</v>
      </c>
      <c r="V50" s="96"/>
      <c r="W50" s="96"/>
      <c r="X50" s="96"/>
      <c r="Y50" s="96"/>
      <c r="Z50" s="96"/>
      <c r="AA50" s="96"/>
      <c r="AB50" s="182"/>
    </row>
    <row r="51" spans="2:28" x14ac:dyDescent="0.25">
      <c r="B51" s="26" t="s">
        <v>573</v>
      </c>
      <c r="C51" s="130">
        <v>64</v>
      </c>
      <c r="D51" s="130">
        <v>66</v>
      </c>
      <c r="E51" s="130">
        <v>66</v>
      </c>
      <c r="F51" s="130">
        <v>67</v>
      </c>
      <c r="G51" s="130">
        <v>73</v>
      </c>
      <c r="H51" s="130">
        <v>73</v>
      </c>
      <c r="I51" s="130">
        <v>70</v>
      </c>
      <c r="J51" s="130">
        <v>70</v>
      </c>
      <c r="K51" s="130">
        <v>70</v>
      </c>
      <c r="L51" s="130">
        <v>71</v>
      </c>
      <c r="M51" s="130">
        <v>72</v>
      </c>
      <c r="N51" s="130">
        <v>76</v>
      </c>
      <c r="P51" s="181" t="s">
        <v>590</v>
      </c>
      <c r="Q51" s="107" t="s">
        <v>619</v>
      </c>
      <c r="R51" s="107" t="s">
        <v>619</v>
      </c>
      <c r="S51" s="107" t="s">
        <v>619</v>
      </c>
      <c r="T51" s="107" t="s">
        <v>619</v>
      </c>
      <c r="U51" s="107" t="s">
        <v>619</v>
      </c>
      <c r="V51" s="96"/>
      <c r="W51" s="96"/>
      <c r="X51" s="96"/>
      <c r="Y51" s="96"/>
      <c r="Z51" s="96"/>
      <c r="AA51" s="96"/>
      <c r="AB51" s="231" t="s">
        <v>619</v>
      </c>
    </row>
    <row r="52" spans="2:28" x14ac:dyDescent="0.25">
      <c r="B52" s="26" t="s">
        <v>568</v>
      </c>
      <c r="C52" s="130">
        <v>49</v>
      </c>
      <c r="D52" s="130">
        <v>54</v>
      </c>
      <c r="E52" s="130">
        <v>56</v>
      </c>
      <c r="F52" s="130">
        <v>55</v>
      </c>
      <c r="G52" s="130">
        <v>57</v>
      </c>
      <c r="H52" s="130">
        <v>58</v>
      </c>
      <c r="I52" s="130">
        <v>60</v>
      </c>
      <c r="J52" s="130">
        <v>59</v>
      </c>
      <c r="K52" s="130">
        <v>58</v>
      </c>
      <c r="L52" s="130">
        <v>59</v>
      </c>
      <c r="M52" s="130">
        <v>58</v>
      </c>
      <c r="N52" s="130">
        <v>59</v>
      </c>
      <c r="P52" s="181" t="s">
        <v>593</v>
      </c>
      <c r="Q52" s="113" t="s">
        <v>620</v>
      </c>
      <c r="R52" s="113" t="s">
        <v>620</v>
      </c>
      <c r="S52" s="113" t="s">
        <v>620</v>
      </c>
      <c r="T52" s="113" t="s">
        <v>620</v>
      </c>
      <c r="U52" s="109" t="s">
        <v>620</v>
      </c>
      <c r="V52" s="96"/>
      <c r="W52" s="96"/>
      <c r="X52" s="96"/>
      <c r="Y52" s="96"/>
      <c r="Z52" s="96"/>
      <c r="AA52" s="96"/>
      <c r="AB52" s="182"/>
    </row>
    <row r="53" spans="2:28" x14ac:dyDescent="0.25">
      <c r="B53" s="26" t="s">
        <v>779</v>
      </c>
      <c r="C53" s="117">
        <v>0</v>
      </c>
      <c r="D53" s="117">
        <v>0</v>
      </c>
      <c r="E53" s="117">
        <v>0</v>
      </c>
      <c r="F53" s="117">
        <v>0</v>
      </c>
      <c r="G53" s="122">
        <v>9</v>
      </c>
      <c r="H53" s="122">
        <v>10</v>
      </c>
      <c r="I53" s="122">
        <v>10</v>
      </c>
      <c r="J53" s="122">
        <v>9</v>
      </c>
      <c r="K53" s="122">
        <v>9</v>
      </c>
      <c r="L53" s="122">
        <v>9</v>
      </c>
      <c r="M53" s="122">
        <v>10</v>
      </c>
      <c r="N53" s="122">
        <v>10</v>
      </c>
      <c r="P53" s="181" t="s">
        <v>658</v>
      </c>
      <c r="Q53" s="97"/>
      <c r="R53" s="97"/>
      <c r="S53" s="107" t="s">
        <v>619</v>
      </c>
      <c r="T53" s="107" t="s">
        <v>619</v>
      </c>
      <c r="U53" s="113" t="s">
        <v>620</v>
      </c>
      <c r="V53" s="113" t="s">
        <v>620</v>
      </c>
      <c r="W53" s="113" t="s">
        <v>620</v>
      </c>
      <c r="X53" s="109" t="s">
        <v>620</v>
      </c>
      <c r="Y53" s="97"/>
      <c r="Z53" s="97"/>
      <c r="AA53" s="97"/>
      <c r="AB53" s="183"/>
    </row>
    <row r="54" spans="2:28" x14ac:dyDescent="0.25">
      <c r="B54" s="77" t="s">
        <v>569</v>
      </c>
      <c r="C54" s="78">
        <v>125</v>
      </c>
      <c r="D54" s="78">
        <v>120</v>
      </c>
      <c r="E54" s="78">
        <v>118</v>
      </c>
      <c r="F54" s="78">
        <v>122</v>
      </c>
      <c r="G54" s="78">
        <v>109</v>
      </c>
      <c r="H54" s="78">
        <v>109</v>
      </c>
      <c r="I54" s="78">
        <f>99+9</f>
        <v>108</v>
      </c>
      <c r="J54" s="78">
        <v>108</v>
      </c>
      <c r="K54" s="78">
        <v>107</v>
      </c>
      <c r="L54" s="78">
        <v>108</v>
      </c>
      <c r="M54" s="78">
        <v>109</v>
      </c>
      <c r="N54" s="79">
        <v>108</v>
      </c>
      <c r="P54" s="181" t="s">
        <v>1184</v>
      </c>
      <c r="Q54" s="97"/>
      <c r="R54" s="97"/>
      <c r="S54" s="97"/>
      <c r="T54" s="107" t="s">
        <v>619</v>
      </c>
      <c r="U54" s="107" t="s">
        <v>619</v>
      </c>
      <c r="V54" s="107" t="s">
        <v>619</v>
      </c>
      <c r="W54" s="107" t="s">
        <v>619</v>
      </c>
      <c r="X54" s="107" t="s">
        <v>619</v>
      </c>
      <c r="Y54" s="109" t="s">
        <v>620</v>
      </c>
      <c r="Z54" s="97"/>
      <c r="AA54" s="97"/>
      <c r="AB54" s="183"/>
    </row>
    <row r="55" spans="2:28" s="19" customFormat="1" x14ac:dyDescent="0.25">
      <c r="B55" s="68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2"/>
      <c r="P55" s="181" t="s">
        <v>671</v>
      </c>
      <c r="Q55" s="97"/>
      <c r="R55" s="97"/>
      <c r="S55" s="97"/>
      <c r="T55" s="107" t="s">
        <v>619</v>
      </c>
      <c r="U55" s="107" t="s">
        <v>619</v>
      </c>
      <c r="V55" s="97"/>
      <c r="W55" s="97"/>
      <c r="X55" s="97"/>
      <c r="Y55" s="97"/>
      <c r="Z55" s="97"/>
      <c r="AA55" s="97"/>
      <c r="AB55" s="183"/>
    </row>
    <row r="56" spans="2:28" s="19" customFormat="1" x14ac:dyDescent="0.25">
      <c r="E56" s="20"/>
      <c r="F56" s="20"/>
      <c r="G56" s="20"/>
      <c r="H56" s="20"/>
      <c r="I56" s="20"/>
      <c r="J56" s="20"/>
      <c r="K56" s="20"/>
      <c r="L56" s="20"/>
      <c r="M56" s="20"/>
      <c r="N56" s="28"/>
      <c r="P56" s="181" t="s">
        <v>777</v>
      </c>
      <c r="Q56" s="97"/>
      <c r="R56" s="97"/>
      <c r="S56" s="97"/>
      <c r="T56" s="97"/>
      <c r="U56" s="97"/>
      <c r="V56" s="107" t="s">
        <v>619</v>
      </c>
      <c r="W56" s="113" t="s">
        <v>620</v>
      </c>
      <c r="X56" s="109" t="s">
        <v>620</v>
      </c>
      <c r="Y56" s="97"/>
      <c r="Z56" s="97"/>
      <c r="AA56" s="97"/>
      <c r="AB56" s="183"/>
    </row>
    <row r="57" spans="2:28" ht="18.75" x14ac:dyDescent="0.3">
      <c r="B57" s="320"/>
      <c r="C57" s="321" t="s">
        <v>1136</v>
      </c>
      <c r="D57" s="322"/>
      <c r="E57" s="322"/>
      <c r="F57" s="322"/>
      <c r="G57" s="322"/>
      <c r="H57" s="322"/>
      <c r="I57" s="322"/>
      <c r="J57" s="322"/>
      <c r="K57" s="322"/>
      <c r="L57" s="322"/>
      <c r="M57" s="322"/>
      <c r="N57" s="323"/>
      <c r="P57" s="181" t="s">
        <v>778</v>
      </c>
      <c r="Q57" s="97"/>
      <c r="R57" s="97"/>
      <c r="S57" s="97"/>
      <c r="T57" s="97"/>
      <c r="U57" s="97"/>
      <c r="V57" s="107" t="s">
        <v>619</v>
      </c>
      <c r="W57" s="113" t="s">
        <v>620</v>
      </c>
      <c r="X57" s="113" t="s">
        <v>620</v>
      </c>
      <c r="Y57" s="113" t="s">
        <v>620</v>
      </c>
      <c r="Z57" s="109" t="s">
        <v>620</v>
      </c>
      <c r="AA57" s="97"/>
      <c r="AB57" s="183"/>
    </row>
    <row r="58" spans="2:28" x14ac:dyDescent="0.25">
      <c r="B58" s="324"/>
      <c r="C58" s="14" t="s">
        <v>510</v>
      </c>
      <c r="D58" s="14" t="s">
        <v>511</v>
      </c>
      <c r="E58" s="14" t="s">
        <v>512</v>
      </c>
      <c r="F58" s="14" t="s">
        <v>513</v>
      </c>
      <c r="G58" s="14" t="s">
        <v>514</v>
      </c>
      <c r="H58" s="14" t="s">
        <v>515</v>
      </c>
      <c r="I58" s="14" t="s">
        <v>516</v>
      </c>
      <c r="J58" s="14" t="s">
        <v>517</v>
      </c>
      <c r="K58" s="14" t="s">
        <v>518</v>
      </c>
      <c r="L58" s="14" t="s">
        <v>519</v>
      </c>
      <c r="M58" s="14" t="s">
        <v>520</v>
      </c>
      <c r="N58" s="325" t="s">
        <v>521</v>
      </c>
      <c r="P58" s="181" t="s">
        <v>1124</v>
      </c>
      <c r="Q58" s="97"/>
      <c r="R58" s="97"/>
      <c r="S58" s="97"/>
      <c r="T58" s="97"/>
      <c r="U58" s="97"/>
      <c r="V58" s="107" t="s">
        <v>619</v>
      </c>
      <c r="W58" s="113" t="s">
        <v>620</v>
      </c>
      <c r="X58" s="113" t="s">
        <v>620</v>
      </c>
      <c r="Y58" s="113" t="s">
        <v>620</v>
      </c>
      <c r="Z58" s="109" t="s">
        <v>620</v>
      </c>
      <c r="AA58" s="97"/>
      <c r="AB58" s="183"/>
    </row>
    <row r="59" spans="2:28" x14ac:dyDescent="0.25">
      <c r="B59" s="326" t="s">
        <v>662</v>
      </c>
      <c r="C59" s="266">
        <f>21-4</f>
        <v>17</v>
      </c>
      <c r="D59" s="266">
        <v>22</v>
      </c>
      <c r="E59" s="266">
        <v>24</v>
      </c>
      <c r="F59" s="266">
        <f>4+27</f>
        <v>31</v>
      </c>
      <c r="G59" s="266">
        <f>16+26</f>
        <v>42</v>
      </c>
      <c r="H59" s="266">
        <f>17+30</f>
        <v>47</v>
      </c>
      <c r="I59" s="266">
        <v>44</v>
      </c>
      <c r="J59" s="266">
        <f>28+16</f>
        <v>44</v>
      </c>
      <c r="K59" s="266">
        <f>27+17</f>
        <v>44</v>
      </c>
      <c r="L59" s="266">
        <f>27+17</f>
        <v>44</v>
      </c>
      <c r="M59" s="266">
        <f>28+18</f>
        <v>46</v>
      </c>
      <c r="N59" s="327">
        <f>18+28</f>
        <v>46</v>
      </c>
      <c r="P59" s="184" t="s">
        <v>1261</v>
      </c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234" t="s">
        <v>619</v>
      </c>
    </row>
    <row r="60" spans="2:28" x14ac:dyDescent="0.25">
      <c r="B60" s="326" t="s">
        <v>667</v>
      </c>
      <c r="C60" s="116">
        <f>206.5-70.5</f>
        <v>136</v>
      </c>
      <c r="D60" s="116">
        <v>199</v>
      </c>
      <c r="E60" s="116">
        <v>219</v>
      </c>
      <c r="F60" s="116">
        <f>244+264</f>
        <v>508</v>
      </c>
      <c r="G60" s="116">
        <f>295+233</f>
        <v>528</v>
      </c>
      <c r="H60" s="116">
        <f>77+326</f>
        <v>403</v>
      </c>
      <c r="I60" s="116">
        <v>513</v>
      </c>
      <c r="J60" s="116">
        <f>427+99</f>
        <v>526</v>
      </c>
      <c r="K60" s="116">
        <f>449+102</f>
        <v>551</v>
      </c>
      <c r="L60" s="116">
        <f>458+100</f>
        <v>558</v>
      </c>
      <c r="M60" s="116">
        <f>461+64</f>
        <v>525</v>
      </c>
      <c r="N60" s="328">
        <f>492+60</f>
        <v>552</v>
      </c>
    </row>
    <row r="61" spans="2:28" x14ac:dyDescent="0.25">
      <c r="B61" s="326" t="s">
        <v>663</v>
      </c>
      <c r="C61" s="266"/>
      <c r="D61" s="266"/>
      <c r="E61" s="266">
        <v>43</v>
      </c>
      <c r="F61" s="266">
        <f>4+48</f>
        <v>52</v>
      </c>
      <c r="G61" s="266">
        <f>26+48</f>
        <v>74</v>
      </c>
      <c r="H61" s="266">
        <f>25+57</f>
        <v>82</v>
      </c>
      <c r="I61" s="266">
        <v>85</v>
      </c>
      <c r="J61" s="266">
        <f>57+25</f>
        <v>82</v>
      </c>
      <c r="K61" s="266">
        <f>53+24</f>
        <v>77</v>
      </c>
      <c r="L61" s="266">
        <f>54+23</f>
        <v>77</v>
      </c>
      <c r="M61" s="266">
        <f>53+24</f>
        <v>77</v>
      </c>
      <c r="N61" s="327">
        <f>54+24</f>
        <v>78</v>
      </c>
    </row>
    <row r="62" spans="2:28" x14ac:dyDescent="0.25">
      <c r="B62" s="329" t="s">
        <v>666</v>
      </c>
      <c r="C62" s="330"/>
      <c r="D62" s="330"/>
      <c r="E62" s="331">
        <v>1120</v>
      </c>
      <c r="F62" s="331">
        <f>500+1313</f>
        <v>1813</v>
      </c>
      <c r="G62" s="331">
        <f>773+2110</f>
        <v>2883</v>
      </c>
      <c r="H62" s="331">
        <f>311+1660</f>
        <v>1971</v>
      </c>
      <c r="I62" s="331">
        <v>2131</v>
      </c>
      <c r="J62" s="331">
        <f>2433+358</f>
        <v>2791</v>
      </c>
      <c r="K62" s="331">
        <f>1858+388</f>
        <v>2246</v>
      </c>
      <c r="L62" s="331">
        <f>1933+385</f>
        <v>2318</v>
      </c>
      <c r="M62" s="331">
        <f>2012+317</f>
        <v>2329</v>
      </c>
      <c r="N62" s="332">
        <f>2119+309</f>
        <v>2428</v>
      </c>
    </row>
    <row r="63" spans="2:28" x14ac:dyDescent="0.25">
      <c r="B63" s="333"/>
      <c r="C63" s="334" t="s">
        <v>664</v>
      </c>
      <c r="D63" s="334" t="s">
        <v>664</v>
      </c>
      <c r="E63" s="334" t="s">
        <v>664</v>
      </c>
      <c r="F63" s="335" t="s">
        <v>665</v>
      </c>
      <c r="G63" s="335" t="s">
        <v>665</v>
      </c>
      <c r="H63" s="335" t="s">
        <v>665</v>
      </c>
      <c r="I63" s="335" t="s">
        <v>665</v>
      </c>
      <c r="J63" s="335" t="s">
        <v>665</v>
      </c>
      <c r="K63" s="335" t="s">
        <v>665</v>
      </c>
      <c r="L63" s="335" t="s">
        <v>665</v>
      </c>
      <c r="M63" s="335" t="s">
        <v>665</v>
      </c>
      <c r="N63" s="336" t="s">
        <v>665</v>
      </c>
    </row>
    <row r="65" spans="2:32" ht="18.75" x14ac:dyDescent="0.3">
      <c r="E65" s="115"/>
      <c r="P65" s="118" t="s">
        <v>690</v>
      </c>
      <c r="Q65" s="119"/>
    </row>
    <row r="66" spans="2:32" x14ac:dyDescent="0.25">
      <c r="P66" s="36"/>
      <c r="Q66" s="120" t="s">
        <v>515</v>
      </c>
    </row>
    <row r="67" spans="2:32" x14ac:dyDescent="0.25">
      <c r="P67" s="26" t="s">
        <v>685</v>
      </c>
      <c r="Q67" s="121">
        <v>174</v>
      </c>
    </row>
    <row r="68" spans="2:32" x14ac:dyDescent="0.25">
      <c r="P68" s="26" t="s">
        <v>686</v>
      </c>
      <c r="Q68" s="121">
        <v>71</v>
      </c>
    </row>
    <row r="69" spans="2:32" x14ac:dyDescent="0.25">
      <c r="P69" s="26" t="s">
        <v>687</v>
      </c>
      <c r="Q69" s="121">
        <v>2</v>
      </c>
    </row>
    <row r="70" spans="2:32" x14ac:dyDescent="0.25">
      <c r="P70" s="26" t="s">
        <v>688</v>
      </c>
      <c r="Q70" s="121">
        <v>9</v>
      </c>
    </row>
    <row r="71" spans="2:32" x14ac:dyDescent="0.25">
      <c r="P71" s="26" t="s">
        <v>689</v>
      </c>
      <c r="Q71" s="121">
        <v>5</v>
      </c>
    </row>
    <row r="72" spans="2:32" x14ac:dyDescent="0.25">
      <c r="P72" s="26" t="s">
        <v>691</v>
      </c>
      <c r="Q72" s="121">
        <v>6</v>
      </c>
    </row>
    <row r="75" spans="2:32" ht="18.75" x14ac:dyDescent="0.3">
      <c r="B75" s="59"/>
      <c r="C75" s="60" t="s">
        <v>558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1"/>
    </row>
    <row r="76" spans="2:32" x14ac:dyDescent="0.25">
      <c r="B76" s="36"/>
      <c r="C76" s="14" t="s">
        <v>510</v>
      </c>
      <c r="D76" s="14" t="s">
        <v>511</v>
      </c>
      <c r="E76" s="14" t="s">
        <v>512</v>
      </c>
      <c r="F76" s="14" t="s">
        <v>513</v>
      </c>
      <c r="G76" s="14" t="s">
        <v>514</v>
      </c>
      <c r="H76" s="14" t="s">
        <v>515</v>
      </c>
      <c r="I76" s="14" t="s">
        <v>516</v>
      </c>
      <c r="J76" s="14" t="s">
        <v>517</v>
      </c>
      <c r="K76" s="14" t="s">
        <v>518</v>
      </c>
      <c r="L76" s="14" t="s">
        <v>519</v>
      </c>
      <c r="M76" s="14" t="s">
        <v>520</v>
      </c>
      <c r="N76" s="14" t="s">
        <v>521</v>
      </c>
    </row>
    <row r="77" spans="2:32" x14ac:dyDescent="0.25">
      <c r="B77" s="53" t="s">
        <v>549</v>
      </c>
      <c r="C77" s="83">
        <v>25</v>
      </c>
      <c r="D77" s="83">
        <v>57</v>
      </c>
      <c r="E77" s="83">
        <v>70</v>
      </c>
      <c r="F77" s="83">
        <v>103</v>
      </c>
      <c r="G77" s="80">
        <v>90</v>
      </c>
      <c r="H77" s="83">
        <v>68</v>
      </c>
      <c r="I77" s="83">
        <v>16</v>
      </c>
      <c r="J77" s="179">
        <v>44</v>
      </c>
      <c r="K77" s="188">
        <v>36</v>
      </c>
      <c r="L77" s="222">
        <v>33</v>
      </c>
      <c r="M77" s="222">
        <v>31</v>
      </c>
      <c r="N77" s="222">
        <v>32</v>
      </c>
    </row>
    <row r="78" spans="2:32" x14ac:dyDescent="0.25">
      <c r="B78" s="53" t="s">
        <v>550</v>
      </c>
      <c r="C78" s="83">
        <v>18</v>
      </c>
      <c r="D78" s="83">
        <v>33</v>
      </c>
      <c r="E78" s="83">
        <v>4</v>
      </c>
      <c r="F78" s="83">
        <v>1</v>
      </c>
      <c r="G78" s="80">
        <v>24</v>
      </c>
      <c r="H78" s="83">
        <v>4</v>
      </c>
      <c r="I78" s="83">
        <v>3</v>
      </c>
      <c r="J78" s="179">
        <v>13</v>
      </c>
      <c r="K78" s="188">
        <v>0</v>
      </c>
      <c r="L78" s="222">
        <v>0</v>
      </c>
      <c r="M78" s="222">
        <v>75</v>
      </c>
      <c r="N78" s="222">
        <v>3</v>
      </c>
      <c r="AC78" s="19"/>
      <c r="AD78" s="19"/>
      <c r="AE78" s="19"/>
      <c r="AF78" s="19"/>
    </row>
    <row r="79" spans="2:32" x14ac:dyDescent="0.25">
      <c r="B79" s="53" t="s">
        <v>551</v>
      </c>
      <c r="C79" s="88">
        <v>234</v>
      </c>
      <c r="D79" s="83">
        <v>386</v>
      </c>
      <c r="E79" s="83">
        <v>388</v>
      </c>
      <c r="F79" s="83">
        <v>441</v>
      </c>
      <c r="G79" s="80">
        <v>433</v>
      </c>
      <c r="H79" s="83">
        <v>506</v>
      </c>
      <c r="I79" s="83">
        <v>333</v>
      </c>
      <c r="J79" s="179">
        <v>345</v>
      </c>
      <c r="K79" s="188">
        <v>431</v>
      </c>
      <c r="L79" s="222">
        <v>522</v>
      </c>
      <c r="M79" s="222">
        <v>423</v>
      </c>
      <c r="N79" s="222">
        <v>221</v>
      </c>
    </row>
    <row r="80" spans="2:32" x14ac:dyDescent="0.25">
      <c r="B80" s="53" t="s">
        <v>552</v>
      </c>
      <c r="C80" s="88">
        <v>227</v>
      </c>
      <c r="D80" s="83">
        <v>268</v>
      </c>
      <c r="E80" s="83">
        <v>366</v>
      </c>
      <c r="F80" s="83">
        <v>444</v>
      </c>
      <c r="G80" s="80">
        <v>401</v>
      </c>
      <c r="H80" s="83">
        <v>388</v>
      </c>
      <c r="I80" s="83">
        <v>241</v>
      </c>
      <c r="J80" s="179">
        <v>369</v>
      </c>
      <c r="K80" s="188">
        <v>345</v>
      </c>
      <c r="L80" s="222">
        <v>273</v>
      </c>
      <c r="M80" s="222">
        <v>297</v>
      </c>
      <c r="N80" s="222">
        <v>201</v>
      </c>
    </row>
    <row r="81" spans="2:14" x14ac:dyDescent="0.25">
      <c r="B81" s="53" t="s">
        <v>553</v>
      </c>
      <c r="C81" s="88">
        <v>227</v>
      </c>
      <c r="D81" s="83">
        <v>222</v>
      </c>
      <c r="E81" s="83">
        <v>183</v>
      </c>
      <c r="F81" s="83">
        <v>236</v>
      </c>
      <c r="G81" s="80">
        <v>245</v>
      </c>
      <c r="H81" s="83">
        <v>296</v>
      </c>
      <c r="I81" s="83">
        <v>216</v>
      </c>
      <c r="J81" s="179">
        <v>235</v>
      </c>
      <c r="K81" s="188">
        <v>255</v>
      </c>
      <c r="L81" s="222">
        <v>300</v>
      </c>
      <c r="M81" s="222">
        <v>224</v>
      </c>
      <c r="N81" s="222">
        <v>142</v>
      </c>
    </row>
    <row r="82" spans="2:14" x14ac:dyDescent="0.25">
      <c r="B82" s="53" t="s">
        <v>554</v>
      </c>
      <c r="C82" s="88">
        <v>111</v>
      </c>
      <c r="D82" s="83">
        <v>152</v>
      </c>
      <c r="E82" s="83">
        <v>207</v>
      </c>
      <c r="F82" s="83">
        <v>209</v>
      </c>
      <c r="G82" s="80">
        <v>206</v>
      </c>
      <c r="H82" s="83">
        <v>228</v>
      </c>
      <c r="I82" s="83">
        <v>124</v>
      </c>
      <c r="J82" s="179">
        <v>129</v>
      </c>
      <c r="K82" s="188">
        <v>169</v>
      </c>
      <c r="L82" s="222">
        <v>136</v>
      </c>
      <c r="M82" s="222">
        <v>171</v>
      </c>
      <c r="N82" s="222">
        <v>131</v>
      </c>
    </row>
    <row r="83" spans="2:14" x14ac:dyDescent="0.25">
      <c r="B83" s="53" t="s">
        <v>555</v>
      </c>
      <c r="C83" s="88">
        <v>47</v>
      </c>
      <c r="D83" s="83">
        <v>128</v>
      </c>
      <c r="E83" s="83">
        <v>174</v>
      </c>
      <c r="F83" s="83">
        <v>97</v>
      </c>
      <c r="G83" s="80">
        <v>92</v>
      </c>
      <c r="H83" s="83">
        <v>147</v>
      </c>
      <c r="I83" s="83">
        <v>152</v>
      </c>
      <c r="J83" s="179">
        <v>162</v>
      </c>
      <c r="K83" s="188">
        <v>109</v>
      </c>
      <c r="L83" s="222">
        <v>185</v>
      </c>
      <c r="M83" s="222">
        <v>145</v>
      </c>
      <c r="N83" s="222">
        <v>133</v>
      </c>
    </row>
    <row r="84" spans="2:14" x14ac:dyDescent="0.25">
      <c r="B84" s="53" t="s">
        <v>556</v>
      </c>
      <c r="C84" s="88">
        <v>252</v>
      </c>
      <c r="D84" s="83">
        <v>292</v>
      </c>
      <c r="E84" s="83">
        <v>331</v>
      </c>
      <c r="F84" s="83">
        <v>325</v>
      </c>
      <c r="G84" s="80">
        <v>376</v>
      </c>
      <c r="H84" s="83">
        <v>292</v>
      </c>
      <c r="I84" s="179">
        <v>281</v>
      </c>
      <c r="J84" s="179">
        <v>273</v>
      </c>
      <c r="K84" s="188">
        <v>280</v>
      </c>
      <c r="L84" s="222">
        <v>269</v>
      </c>
      <c r="M84" s="222">
        <v>246</v>
      </c>
      <c r="N84" s="222">
        <v>201</v>
      </c>
    </row>
    <row r="85" spans="2:14" x14ac:dyDescent="0.25">
      <c r="B85" s="53" t="s">
        <v>557</v>
      </c>
      <c r="C85" s="88">
        <v>17</v>
      </c>
      <c r="D85" s="83">
        <v>11</v>
      </c>
      <c r="E85" s="83">
        <v>27</v>
      </c>
      <c r="F85" s="83">
        <v>49</v>
      </c>
      <c r="G85" s="80">
        <v>63</v>
      </c>
      <c r="H85" s="83">
        <v>73</v>
      </c>
      <c r="I85" s="83">
        <v>42</v>
      </c>
      <c r="J85" s="179">
        <v>18</v>
      </c>
      <c r="K85" s="188">
        <v>18</v>
      </c>
      <c r="L85" s="222">
        <v>18</v>
      </c>
      <c r="M85" s="222">
        <v>82</v>
      </c>
      <c r="N85" s="222">
        <v>34</v>
      </c>
    </row>
    <row r="86" spans="2:14" x14ac:dyDescent="0.25">
      <c r="B86" s="36"/>
      <c r="C86" s="14" t="s">
        <v>510</v>
      </c>
      <c r="D86" s="14" t="s">
        <v>511</v>
      </c>
      <c r="E86" s="14" t="s">
        <v>512</v>
      </c>
      <c r="F86" s="14" t="s">
        <v>513</v>
      </c>
      <c r="G86" s="14" t="s">
        <v>514</v>
      </c>
      <c r="H86" s="14" t="s">
        <v>515</v>
      </c>
      <c r="I86" s="14" t="s">
        <v>516</v>
      </c>
      <c r="J86" s="14" t="s">
        <v>517</v>
      </c>
      <c r="K86" s="14" t="s">
        <v>518</v>
      </c>
      <c r="L86" s="14" t="s">
        <v>519</v>
      </c>
      <c r="M86" s="14" t="s">
        <v>520</v>
      </c>
      <c r="N86" s="14" t="s">
        <v>521</v>
      </c>
    </row>
    <row r="87" spans="2:14" x14ac:dyDescent="0.25">
      <c r="B87" s="64" t="s">
        <v>548</v>
      </c>
      <c r="C87" s="82">
        <f t="shared" ref="C87:K87" si="13">SUM(C77:C85)</f>
        <v>1158</v>
      </c>
      <c r="D87" s="82">
        <f t="shared" si="13"/>
        <v>1549</v>
      </c>
      <c r="E87" s="82">
        <f t="shared" si="13"/>
        <v>1750</v>
      </c>
      <c r="F87" s="82">
        <f t="shared" si="13"/>
        <v>1905</v>
      </c>
      <c r="G87" s="82">
        <f t="shared" si="13"/>
        <v>1930</v>
      </c>
      <c r="H87" s="123">
        <f t="shared" si="13"/>
        <v>2002</v>
      </c>
      <c r="I87" s="82">
        <f t="shared" si="13"/>
        <v>1408</v>
      </c>
      <c r="J87" s="82">
        <f t="shared" si="13"/>
        <v>1588</v>
      </c>
      <c r="K87" s="82">
        <f t="shared" si="13"/>
        <v>1643</v>
      </c>
      <c r="L87" s="82">
        <v>1736</v>
      </c>
      <c r="M87" s="82">
        <v>1694</v>
      </c>
      <c r="N87" s="82">
        <f>SUM(N77:N85)</f>
        <v>1098</v>
      </c>
    </row>
    <row r="89" spans="2:14" ht="18.75" x14ac:dyDescent="0.3">
      <c r="B89" s="56"/>
      <c r="C89" s="60" t="s">
        <v>624</v>
      </c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8"/>
    </row>
    <row r="90" spans="2:14" x14ac:dyDescent="0.25">
      <c r="B90" s="36"/>
      <c r="C90" s="14" t="s">
        <v>510</v>
      </c>
      <c r="D90" s="14" t="s">
        <v>511</v>
      </c>
      <c r="E90" s="14" t="s">
        <v>512</v>
      </c>
      <c r="F90" s="14" t="s">
        <v>513</v>
      </c>
      <c r="G90" s="14" t="s">
        <v>514</v>
      </c>
      <c r="H90" s="14" t="s">
        <v>515</v>
      </c>
      <c r="I90" s="14" t="s">
        <v>516</v>
      </c>
      <c r="J90" s="14" t="s">
        <v>517</v>
      </c>
      <c r="K90" s="14" t="s">
        <v>518</v>
      </c>
      <c r="L90" s="14" t="s">
        <v>519</v>
      </c>
      <c r="M90" s="14" t="s">
        <v>520</v>
      </c>
      <c r="N90" s="45" t="s">
        <v>521</v>
      </c>
    </row>
    <row r="91" spans="2:14" x14ac:dyDescent="0.25">
      <c r="B91" s="70" t="s">
        <v>561</v>
      </c>
      <c r="C91" s="83" t="s">
        <v>597</v>
      </c>
      <c r="D91" s="83" t="s">
        <v>594</v>
      </c>
      <c r="E91" s="83" t="s">
        <v>623</v>
      </c>
      <c r="F91" s="83" t="s">
        <v>659</v>
      </c>
      <c r="G91" s="83" t="s">
        <v>668</v>
      </c>
      <c r="H91" s="83" t="s">
        <v>780</v>
      </c>
      <c r="I91" s="83" t="s">
        <v>849</v>
      </c>
      <c r="J91" s="178" t="s">
        <v>1128</v>
      </c>
      <c r="K91" s="223" t="s">
        <v>1172</v>
      </c>
      <c r="L91" s="223" t="s">
        <v>1235</v>
      </c>
      <c r="M91" s="232" t="s">
        <v>1256</v>
      </c>
      <c r="N91" s="250" t="s">
        <v>1276</v>
      </c>
    </row>
    <row r="92" spans="2:14" ht="20.25" customHeight="1" x14ac:dyDescent="0.25">
      <c r="B92" s="70" t="s">
        <v>559</v>
      </c>
      <c r="C92" s="83" t="s">
        <v>598</v>
      </c>
      <c r="D92" s="83" t="s">
        <v>595</v>
      </c>
      <c r="E92" s="83" t="s">
        <v>621</v>
      </c>
      <c r="F92" s="83" t="s">
        <v>660</v>
      </c>
      <c r="G92" s="83" t="s">
        <v>669</v>
      </c>
      <c r="H92" s="83" t="s">
        <v>781</v>
      </c>
      <c r="I92" s="83" t="s">
        <v>850</v>
      </c>
      <c r="J92" s="178" t="s">
        <v>1129</v>
      </c>
      <c r="K92" s="223" t="s">
        <v>1173</v>
      </c>
      <c r="L92" s="223" t="s">
        <v>1236</v>
      </c>
      <c r="M92" s="232" t="s">
        <v>1257</v>
      </c>
      <c r="N92" s="250" t="s">
        <v>1277</v>
      </c>
    </row>
    <row r="93" spans="2:14" x14ac:dyDescent="0.25">
      <c r="B93" s="69" t="s">
        <v>560</v>
      </c>
      <c r="C93" s="84" t="s">
        <v>599</v>
      </c>
      <c r="D93" s="85" t="s">
        <v>596</v>
      </c>
      <c r="E93" s="85" t="s">
        <v>622</v>
      </c>
      <c r="F93" s="85" t="s">
        <v>661</v>
      </c>
      <c r="G93" s="85" t="s">
        <v>670</v>
      </c>
      <c r="H93" s="85" t="s">
        <v>782</v>
      </c>
      <c r="I93" s="85" t="s">
        <v>851</v>
      </c>
      <c r="J93" s="85" t="s">
        <v>1130</v>
      </c>
      <c r="K93" s="85" t="s">
        <v>1174</v>
      </c>
      <c r="L93" s="85" t="s">
        <v>1237</v>
      </c>
      <c r="M93" s="85" t="s">
        <v>1258</v>
      </c>
      <c r="N93" s="250" t="s">
        <v>1278</v>
      </c>
    </row>
    <row r="95" spans="2:14" ht="18.75" customHeight="1" x14ac:dyDescent="0.3">
      <c r="B95" s="56"/>
      <c r="C95" s="60" t="s">
        <v>571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8"/>
    </row>
    <row r="96" spans="2:14" ht="15" customHeight="1" x14ac:dyDescent="0.25">
      <c r="B96" s="36"/>
      <c r="C96" s="14" t="s">
        <v>510</v>
      </c>
      <c r="D96" s="14" t="s">
        <v>511</v>
      </c>
      <c r="E96" s="14" t="s">
        <v>512</v>
      </c>
      <c r="F96" s="14" t="s">
        <v>513</v>
      </c>
      <c r="G96" s="14" t="s">
        <v>514</v>
      </c>
      <c r="H96" s="14" t="s">
        <v>515</v>
      </c>
      <c r="I96" s="14" t="s">
        <v>516</v>
      </c>
      <c r="J96" s="14" t="s">
        <v>517</v>
      </c>
      <c r="K96" s="14" t="s">
        <v>518</v>
      </c>
      <c r="L96" s="14" t="s">
        <v>519</v>
      </c>
      <c r="M96" s="14" t="s">
        <v>520</v>
      </c>
      <c r="N96" s="45" t="s">
        <v>521</v>
      </c>
    </row>
    <row r="97" spans="2:26" x14ac:dyDescent="0.25">
      <c r="B97" s="70" t="s">
        <v>562</v>
      </c>
      <c r="C97" s="71">
        <f>4819/60</f>
        <v>80.316666666666663</v>
      </c>
      <c r="D97" s="71">
        <f>5934/60</f>
        <v>98.9</v>
      </c>
      <c r="E97" s="71">
        <f>6619/60</f>
        <v>110.31666666666666</v>
      </c>
      <c r="F97" s="71">
        <f>7171/60</f>
        <v>119.51666666666667</v>
      </c>
      <c r="G97" s="71">
        <f>7171/60</f>
        <v>119.51666666666667</v>
      </c>
      <c r="H97" s="71">
        <f>7210.5/60</f>
        <v>120.175</v>
      </c>
      <c r="I97" s="72" t="s">
        <v>852</v>
      </c>
      <c r="J97" s="72">
        <v>91.75</v>
      </c>
      <c r="K97" s="72">
        <v>91.35</v>
      </c>
      <c r="L97" s="72" t="s">
        <v>1238</v>
      </c>
      <c r="M97" s="72">
        <v>92</v>
      </c>
      <c r="N97" s="73">
        <v>58.35</v>
      </c>
    </row>
    <row r="98" spans="2:26" x14ac:dyDescent="0.25">
      <c r="B98" s="69" t="s">
        <v>563</v>
      </c>
      <c r="C98" s="74">
        <f>250/60</f>
        <v>4.166666666666667</v>
      </c>
      <c r="D98" s="74">
        <f>230/60</f>
        <v>3.8333333333333335</v>
      </c>
      <c r="E98" s="74">
        <f>227/60</f>
        <v>3.7833333333333332</v>
      </c>
      <c r="F98" s="74">
        <f>226/60</f>
        <v>3.7666666666666666</v>
      </c>
      <c r="G98" s="74">
        <f>223/60</f>
        <v>3.7166666666666668</v>
      </c>
      <c r="H98" s="74">
        <f>216/60</f>
        <v>3.6</v>
      </c>
      <c r="I98" s="75">
        <v>3.6</v>
      </c>
      <c r="J98" s="75">
        <v>3.5</v>
      </c>
      <c r="K98" s="75">
        <v>3.33</v>
      </c>
      <c r="L98" s="75">
        <v>3.26</v>
      </c>
      <c r="M98" s="75">
        <v>3.26</v>
      </c>
      <c r="N98" s="76">
        <v>3.18</v>
      </c>
    </row>
    <row r="100" spans="2:26" ht="18.75" x14ac:dyDescent="0.3">
      <c r="B100" s="56"/>
      <c r="C100" s="60" t="s">
        <v>572</v>
      </c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8"/>
    </row>
    <row r="101" spans="2:26" ht="16.5" customHeight="1" x14ac:dyDescent="0.25">
      <c r="B101" s="110"/>
      <c r="C101" s="111" t="s">
        <v>510</v>
      </c>
      <c r="D101" s="111" t="s">
        <v>511</v>
      </c>
      <c r="E101" s="111" t="s">
        <v>512</v>
      </c>
      <c r="F101" s="111" t="s">
        <v>513</v>
      </c>
      <c r="G101" s="111" t="s">
        <v>514</v>
      </c>
      <c r="H101" s="111" t="s">
        <v>515</v>
      </c>
      <c r="I101" s="111" t="s">
        <v>516</v>
      </c>
      <c r="J101" s="111" t="s">
        <v>517</v>
      </c>
      <c r="K101" s="111" t="s">
        <v>518</v>
      </c>
      <c r="L101" s="111" t="s">
        <v>519</v>
      </c>
      <c r="M101" s="111" t="s">
        <v>520</v>
      </c>
      <c r="N101" s="112" t="s">
        <v>521</v>
      </c>
    </row>
    <row r="102" spans="2:26" x14ac:dyDescent="0.25">
      <c r="B102" s="70" t="s">
        <v>561</v>
      </c>
      <c r="C102" s="83">
        <v>16</v>
      </c>
      <c r="D102" s="83">
        <v>16</v>
      </c>
      <c r="E102" s="72">
        <v>44</v>
      </c>
      <c r="F102" s="72">
        <v>23</v>
      </c>
      <c r="G102" s="72">
        <v>12</v>
      </c>
      <c r="H102" s="72">
        <v>13</v>
      </c>
      <c r="I102" s="72">
        <v>9</v>
      </c>
      <c r="J102" s="72">
        <v>13</v>
      </c>
      <c r="K102" s="72">
        <v>20</v>
      </c>
      <c r="L102" s="72">
        <v>11</v>
      </c>
      <c r="M102" s="72">
        <v>25</v>
      </c>
      <c r="N102" s="73">
        <v>6</v>
      </c>
    </row>
    <row r="103" spans="2:26" ht="16.5" customHeight="1" x14ac:dyDescent="0.25">
      <c r="B103" s="70" t="s">
        <v>559</v>
      </c>
      <c r="C103" s="83">
        <v>21</v>
      </c>
      <c r="D103" s="83">
        <v>62</v>
      </c>
      <c r="E103" s="72">
        <v>93</v>
      </c>
      <c r="F103" s="72">
        <v>38</v>
      </c>
      <c r="G103" s="72">
        <v>29</v>
      </c>
      <c r="H103" s="72">
        <v>16</v>
      </c>
      <c r="I103" s="72">
        <v>12</v>
      </c>
      <c r="J103" s="72">
        <v>14</v>
      </c>
      <c r="K103" s="72">
        <v>30</v>
      </c>
      <c r="L103" s="72">
        <v>46</v>
      </c>
      <c r="M103" s="72">
        <v>40</v>
      </c>
      <c r="N103" s="73">
        <v>12</v>
      </c>
    </row>
    <row r="104" spans="2:26" x14ac:dyDescent="0.25">
      <c r="B104" s="69" t="s">
        <v>560</v>
      </c>
      <c r="C104" s="84">
        <v>10</v>
      </c>
      <c r="D104" s="85">
        <v>26</v>
      </c>
      <c r="E104" s="75">
        <v>47</v>
      </c>
      <c r="F104" s="75">
        <v>22</v>
      </c>
      <c r="G104" s="75">
        <v>20</v>
      </c>
      <c r="H104" s="75">
        <v>29</v>
      </c>
      <c r="I104" s="75">
        <v>11</v>
      </c>
      <c r="J104" s="75">
        <v>26</v>
      </c>
      <c r="K104" s="75">
        <v>45</v>
      </c>
      <c r="L104" s="75">
        <v>54</v>
      </c>
      <c r="M104" s="75">
        <v>51</v>
      </c>
      <c r="N104" s="76">
        <v>24</v>
      </c>
    </row>
    <row r="105" spans="2:26" x14ac:dyDescent="0.25">
      <c r="B105" s="224" t="s">
        <v>548</v>
      </c>
      <c r="C105" s="225">
        <f>SUM(C102:C104)</f>
        <v>47</v>
      </c>
      <c r="D105" s="225">
        <f>SUM(D102:D104)</f>
        <v>104</v>
      </c>
      <c r="E105" s="225">
        <f t="shared" ref="E105:L105" si="14">SUM(E102:E104)</f>
        <v>184</v>
      </c>
      <c r="F105" s="225">
        <f t="shared" si="14"/>
        <v>83</v>
      </c>
      <c r="G105" s="225">
        <f t="shared" si="14"/>
        <v>61</v>
      </c>
      <c r="H105" s="225">
        <f t="shared" si="14"/>
        <v>58</v>
      </c>
      <c r="I105" s="226">
        <f t="shared" si="14"/>
        <v>32</v>
      </c>
      <c r="J105" s="225">
        <f t="shared" si="14"/>
        <v>53</v>
      </c>
      <c r="K105" s="225">
        <f t="shared" si="14"/>
        <v>95</v>
      </c>
      <c r="L105" s="225">
        <f t="shared" si="14"/>
        <v>111</v>
      </c>
      <c r="M105" s="225">
        <v>116</v>
      </c>
      <c r="N105" s="225">
        <v>42</v>
      </c>
    </row>
    <row r="106" spans="2:26" ht="48" x14ac:dyDescent="0.25">
      <c r="B106" s="227"/>
      <c r="C106" s="227"/>
      <c r="D106" s="228" t="s">
        <v>612</v>
      </c>
      <c r="E106" s="228" t="s">
        <v>613</v>
      </c>
      <c r="F106" s="229"/>
      <c r="G106" s="229"/>
      <c r="H106" s="229"/>
      <c r="I106" s="229"/>
      <c r="J106" s="228" t="s">
        <v>1137</v>
      </c>
      <c r="K106" s="228" t="s">
        <v>1181</v>
      </c>
      <c r="L106" s="228" t="s">
        <v>1239</v>
      </c>
      <c r="M106" s="233" t="s">
        <v>1259</v>
      </c>
      <c r="N106" s="227"/>
    </row>
    <row r="108" spans="2:26" ht="18.75" x14ac:dyDescent="0.3">
      <c r="B108" s="636" t="s">
        <v>1301</v>
      </c>
      <c r="C108" s="637"/>
      <c r="D108" s="637"/>
      <c r="E108" s="638"/>
    </row>
    <row r="109" spans="2:26" x14ac:dyDescent="0.25">
      <c r="B109" s="255" t="s">
        <v>1300</v>
      </c>
      <c r="C109" s="258" t="s">
        <v>1299</v>
      </c>
      <c r="D109" s="256" t="s">
        <v>1290</v>
      </c>
      <c r="E109" s="257" t="s">
        <v>1291</v>
      </c>
    </row>
    <row r="110" spans="2:26" x14ac:dyDescent="0.25">
      <c r="B110" s="268" t="s">
        <v>1292</v>
      </c>
      <c r="C110" s="269">
        <v>1</v>
      </c>
      <c r="D110" s="272">
        <v>58</v>
      </c>
      <c r="E110" s="252">
        <v>3</v>
      </c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</row>
    <row r="111" spans="2:26" x14ac:dyDescent="0.25">
      <c r="B111" s="268" t="s">
        <v>1293</v>
      </c>
      <c r="C111" s="269">
        <v>2</v>
      </c>
      <c r="D111" s="272">
        <v>57</v>
      </c>
      <c r="E111" s="252">
        <v>2</v>
      </c>
      <c r="F111" s="217"/>
      <c r="G111" s="217"/>
      <c r="H111" s="217"/>
      <c r="I111" s="217"/>
      <c r="J111" s="217"/>
      <c r="K111" s="217"/>
      <c r="L111" s="217"/>
      <c r="M111" s="217"/>
      <c r="N111" s="217"/>
    </row>
    <row r="112" spans="2:26" x14ac:dyDescent="0.25">
      <c r="B112" s="268" t="s">
        <v>1294</v>
      </c>
      <c r="C112" s="269">
        <v>5</v>
      </c>
      <c r="D112" s="272">
        <v>65</v>
      </c>
      <c r="E112" s="252">
        <v>3</v>
      </c>
      <c r="F112" s="217"/>
      <c r="G112" s="217"/>
      <c r="H112" s="217"/>
      <c r="I112" s="217"/>
      <c r="J112" s="217"/>
      <c r="K112" s="217"/>
      <c r="L112" s="217"/>
      <c r="M112" s="217"/>
      <c r="N112" s="217"/>
    </row>
    <row r="113" spans="2:14" x14ac:dyDescent="0.25">
      <c r="B113" s="268" t="s">
        <v>1295</v>
      </c>
      <c r="C113" s="269">
        <v>6</v>
      </c>
      <c r="D113" s="272">
        <v>67</v>
      </c>
      <c r="E113" s="252">
        <v>3</v>
      </c>
      <c r="F113" s="217"/>
      <c r="G113" s="217"/>
      <c r="H113" s="217"/>
      <c r="I113" s="217"/>
      <c r="J113" s="217"/>
      <c r="K113" s="217"/>
      <c r="L113" s="217"/>
      <c r="M113" s="217"/>
      <c r="N113" s="217"/>
    </row>
    <row r="114" spans="2:14" x14ac:dyDescent="0.25">
      <c r="B114" s="268" t="s">
        <v>1296</v>
      </c>
      <c r="C114" s="269">
        <v>7</v>
      </c>
      <c r="D114" s="272">
        <v>72</v>
      </c>
      <c r="E114" s="252">
        <v>1</v>
      </c>
      <c r="F114" s="217"/>
      <c r="G114" s="217"/>
      <c r="H114" s="217"/>
      <c r="I114" s="217"/>
      <c r="J114" s="217"/>
      <c r="K114" s="217"/>
      <c r="L114" s="217"/>
      <c r="M114" s="217"/>
      <c r="N114" s="217"/>
    </row>
    <row r="115" spans="2:14" x14ac:dyDescent="0.25">
      <c r="B115" s="268" t="s">
        <v>1292</v>
      </c>
      <c r="C115" s="269">
        <v>8</v>
      </c>
      <c r="D115" s="273">
        <v>56</v>
      </c>
      <c r="E115" s="253">
        <v>1</v>
      </c>
    </row>
    <row r="116" spans="2:14" x14ac:dyDescent="0.25">
      <c r="B116" s="268" t="s">
        <v>1297</v>
      </c>
      <c r="C116" s="269">
        <v>9</v>
      </c>
      <c r="D116" s="273">
        <v>62</v>
      </c>
      <c r="E116" s="253">
        <v>2</v>
      </c>
    </row>
    <row r="117" spans="2:14" x14ac:dyDescent="0.25">
      <c r="B117" s="268" t="s">
        <v>1294</v>
      </c>
      <c r="C117" s="269">
        <v>12</v>
      </c>
      <c r="D117" s="273">
        <v>88</v>
      </c>
      <c r="E117" s="253">
        <v>2</v>
      </c>
    </row>
    <row r="118" spans="2:14" x14ac:dyDescent="0.25">
      <c r="B118" s="268" t="s">
        <v>1298</v>
      </c>
      <c r="C118" s="269">
        <v>13</v>
      </c>
      <c r="D118" s="273">
        <v>67</v>
      </c>
      <c r="E118" s="253">
        <v>2</v>
      </c>
    </row>
    <row r="119" spans="2:14" x14ac:dyDescent="0.25">
      <c r="B119" s="268" t="s">
        <v>1296</v>
      </c>
      <c r="C119" s="269">
        <v>14</v>
      </c>
      <c r="D119" s="273">
        <v>72</v>
      </c>
      <c r="E119" s="253">
        <v>2</v>
      </c>
    </row>
    <row r="120" spans="2:14" x14ac:dyDescent="0.25">
      <c r="B120" s="268" t="s">
        <v>1292</v>
      </c>
      <c r="C120" s="269">
        <v>15</v>
      </c>
      <c r="D120" s="273">
        <v>52</v>
      </c>
      <c r="E120" s="253">
        <v>2</v>
      </c>
    </row>
    <row r="121" spans="2:14" x14ac:dyDescent="0.25">
      <c r="B121" s="268" t="s">
        <v>1297</v>
      </c>
      <c r="C121" s="269">
        <v>16</v>
      </c>
      <c r="D121" s="273">
        <v>61</v>
      </c>
      <c r="E121" s="253">
        <v>2</v>
      </c>
    </row>
    <row r="122" spans="2:14" x14ac:dyDescent="0.25">
      <c r="B122" s="268" t="s">
        <v>1294</v>
      </c>
      <c r="C122" s="269">
        <v>19</v>
      </c>
      <c r="D122" s="273">
        <v>62</v>
      </c>
      <c r="E122" s="253">
        <v>3</v>
      </c>
    </row>
    <row r="123" spans="2:14" x14ac:dyDescent="0.25">
      <c r="B123" s="268" t="s">
        <v>1298</v>
      </c>
      <c r="C123" s="269">
        <v>20</v>
      </c>
      <c r="D123" s="273">
        <v>66</v>
      </c>
      <c r="E123" s="253">
        <v>8</v>
      </c>
    </row>
    <row r="124" spans="2:14" x14ac:dyDescent="0.25">
      <c r="B124" s="268" t="s">
        <v>1296</v>
      </c>
      <c r="C124" s="269">
        <v>21</v>
      </c>
      <c r="D124" s="273">
        <v>48</v>
      </c>
      <c r="E124" s="253">
        <v>3</v>
      </c>
    </row>
    <row r="125" spans="2:14" x14ac:dyDescent="0.25">
      <c r="B125" s="268" t="s">
        <v>1292</v>
      </c>
      <c r="C125" s="269">
        <v>22</v>
      </c>
      <c r="D125" s="273">
        <v>46</v>
      </c>
      <c r="E125" s="253">
        <v>0</v>
      </c>
    </row>
    <row r="126" spans="2:14" x14ac:dyDescent="0.25">
      <c r="B126" s="268" t="s">
        <v>1297</v>
      </c>
      <c r="C126" s="269">
        <v>23</v>
      </c>
      <c r="D126" s="273">
        <v>28</v>
      </c>
      <c r="E126" s="253">
        <v>0</v>
      </c>
    </row>
    <row r="127" spans="2:14" x14ac:dyDescent="0.25">
      <c r="B127" s="268" t="s">
        <v>1298</v>
      </c>
      <c r="C127" s="269">
        <v>27</v>
      </c>
      <c r="D127" s="273">
        <v>27</v>
      </c>
      <c r="E127" s="253">
        <v>0</v>
      </c>
    </row>
    <row r="128" spans="2:14" x14ac:dyDescent="0.25">
      <c r="B128" s="268" t="s">
        <v>1296</v>
      </c>
      <c r="C128" s="269">
        <v>28</v>
      </c>
      <c r="D128" s="273">
        <v>18</v>
      </c>
      <c r="E128" s="253">
        <v>3</v>
      </c>
    </row>
    <row r="129" spans="2:14" x14ac:dyDescent="0.25">
      <c r="B129" s="268" t="s">
        <v>1292</v>
      </c>
      <c r="C129" s="269">
        <v>29</v>
      </c>
      <c r="D129" s="273">
        <v>22</v>
      </c>
      <c r="E129" s="253">
        <v>0</v>
      </c>
    </row>
    <row r="130" spans="2:14" x14ac:dyDescent="0.25">
      <c r="B130" s="270" t="s">
        <v>1297</v>
      </c>
      <c r="C130" s="271">
        <v>30</v>
      </c>
      <c r="D130" s="274">
        <v>5</v>
      </c>
      <c r="E130" s="254">
        <v>0</v>
      </c>
    </row>
    <row r="132" spans="2:14" ht="18.75" x14ac:dyDescent="0.3">
      <c r="B132" s="639" t="s">
        <v>1318</v>
      </c>
      <c r="C132" s="640"/>
      <c r="D132" s="640"/>
      <c r="E132" s="640"/>
      <c r="F132" s="640"/>
      <c r="G132" s="640"/>
      <c r="H132" s="640"/>
      <c r="I132" s="640"/>
      <c r="J132" s="640"/>
      <c r="K132" s="640"/>
      <c r="L132" s="640"/>
      <c r="M132" s="640"/>
      <c r="N132" s="641"/>
    </row>
    <row r="133" spans="2:14" x14ac:dyDescent="0.25">
      <c r="B133" s="642" t="s">
        <v>1332</v>
      </c>
      <c r="C133" s="643"/>
      <c r="D133" s="643"/>
      <c r="E133" s="643"/>
      <c r="F133" s="644" t="s">
        <v>1333</v>
      </c>
      <c r="G133" s="645"/>
      <c r="H133" s="645"/>
      <c r="I133" s="645"/>
      <c r="J133" s="645"/>
      <c r="K133" s="645"/>
      <c r="L133" s="645"/>
      <c r="M133" s="645"/>
      <c r="N133" s="646"/>
    </row>
    <row r="134" spans="2:14" x14ac:dyDescent="0.25">
      <c r="B134" s="642" t="s">
        <v>1334</v>
      </c>
      <c r="C134" s="643"/>
      <c r="D134" s="643"/>
      <c r="E134" s="643"/>
      <c r="F134" s="644" t="s">
        <v>1335</v>
      </c>
      <c r="G134" s="645"/>
      <c r="H134" s="645"/>
      <c r="I134" s="645"/>
      <c r="J134" s="645"/>
      <c r="K134" s="645"/>
      <c r="L134" s="645"/>
      <c r="M134" s="645"/>
      <c r="N134" s="646"/>
    </row>
    <row r="135" spans="2:14" x14ac:dyDescent="0.25">
      <c r="B135" s="623" t="s">
        <v>1336</v>
      </c>
      <c r="C135" s="624"/>
      <c r="D135" s="624"/>
      <c r="E135" s="624"/>
      <c r="F135" s="625" t="s">
        <v>1337</v>
      </c>
      <c r="G135" s="626"/>
      <c r="H135" s="626"/>
      <c r="I135" s="626"/>
      <c r="J135" s="626"/>
      <c r="K135" s="626"/>
      <c r="L135" s="626"/>
      <c r="M135" s="626"/>
      <c r="N135" s="627"/>
    </row>
    <row r="136" spans="2:14" x14ac:dyDescent="0.25">
      <c r="B136" s="628" t="s">
        <v>1338</v>
      </c>
      <c r="C136" s="629"/>
      <c r="D136" s="629"/>
      <c r="E136" s="629"/>
      <c r="F136" s="630" t="s">
        <v>1339</v>
      </c>
      <c r="G136" s="631"/>
      <c r="H136" s="631"/>
      <c r="I136" s="631"/>
      <c r="J136" s="631"/>
      <c r="K136" s="631"/>
      <c r="L136" s="631"/>
      <c r="M136" s="631"/>
      <c r="N136" s="632"/>
    </row>
  </sheetData>
  <mergeCells count="11">
    <mergeCell ref="B135:E135"/>
    <mergeCell ref="F135:N135"/>
    <mergeCell ref="B136:E136"/>
    <mergeCell ref="F136:N136"/>
    <mergeCell ref="B48:N48"/>
    <mergeCell ref="B108:E108"/>
    <mergeCell ref="B132:N132"/>
    <mergeCell ref="B133:E133"/>
    <mergeCell ref="F133:N133"/>
    <mergeCell ref="B134:E134"/>
    <mergeCell ref="F134:N134"/>
  </mergeCells>
  <hyperlinks>
    <hyperlink ref="F133" r:id="rId1"/>
    <hyperlink ref="F134" r:id="rId2"/>
    <hyperlink ref="F135" r:id="rId3"/>
    <hyperlink ref="F136" r:id="rId4"/>
  </hyperlinks>
  <pageMargins left="0.7" right="0.7" top="0.78740157499999996" bottom="0.78740157499999996" header="0.3" footer="0.3"/>
  <pageSetup paperSize="9" orientation="portrait" r:id="rId5"/>
  <ignoredErrors>
    <ignoredError sqref="E9" formula="1"/>
  </ignoredError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AG127"/>
  <sheetViews>
    <sheetView zoomScale="80" zoomScaleNormal="80" workbookViewId="0">
      <selection activeCell="C5" sqref="C5"/>
    </sheetView>
  </sheetViews>
  <sheetFormatPr defaultRowHeight="15" x14ac:dyDescent="0.25"/>
  <cols>
    <col min="1" max="1" width="1.85546875" customWidth="1"/>
    <col min="2" max="2" width="37.140625" customWidth="1"/>
    <col min="3" max="3" width="11.42578125" customWidth="1"/>
    <col min="4" max="4" width="11.5703125" customWidth="1"/>
    <col min="5" max="7" width="7.85546875" customWidth="1"/>
    <col min="8" max="8" width="9" customWidth="1"/>
    <col min="9" max="9" width="10.140625" customWidth="1"/>
    <col min="10" max="10" width="9" customWidth="1"/>
    <col min="12" max="12" width="9.140625" customWidth="1"/>
    <col min="14" max="14" width="9.140625" customWidth="1"/>
    <col min="15" max="15" width="2.28515625" customWidth="1"/>
    <col min="16" max="16" width="12.7109375" customWidth="1"/>
    <col min="17" max="17" width="12.28515625" customWidth="1"/>
    <col min="18" max="19" width="11.140625" customWidth="1"/>
    <col min="20" max="20" width="2.28515625" customWidth="1"/>
    <col min="21" max="21" width="11.140625" customWidth="1"/>
    <col min="22" max="26" width="10.28515625" customWidth="1"/>
    <col min="27" max="27" width="2.7109375" customWidth="1"/>
    <col min="28" max="33" width="10.28515625" customWidth="1"/>
  </cols>
  <sheetData>
    <row r="1" spans="2:26" ht="9" customHeight="1" x14ac:dyDescent="0.25"/>
    <row r="2" spans="2:26" ht="21" customHeight="1" x14ac:dyDescent="0.3">
      <c r="B2" s="674" t="s">
        <v>942</v>
      </c>
      <c r="C2" s="675"/>
      <c r="D2" s="675"/>
      <c r="E2" s="675"/>
      <c r="F2" s="675"/>
      <c r="G2" s="675"/>
      <c r="H2" s="675"/>
      <c r="I2" s="675"/>
      <c r="J2" s="675"/>
      <c r="K2" s="676"/>
      <c r="L2" s="675"/>
      <c r="M2" s="675"/>
      <c r="N2" s="677"/>
      <c r="P2" s="681" t="s">
        <v>836</v>
      </c>
      <c r="Q2" s="682"/>
      <c r="R2" s="682"/>
      <c r="S2" s="683"/>
      <c r="U2" s="678" t="s">
        <v>881</v>
      </c>
      <c r="V2" s="679"/>
      <c r="W2" s="679"/>
      <c r="X2" s="679"/>
      <c r="Y2" s="679"/>
      <c r="Z2" s="680"/>
    </row>
    <row r="3" spans="2:26" x14ac:dyDescent="0.25">
      <c r="B3" s="110"/>
      <c r="C3" s="111" t="s">
        <v>510</v>
      </c>
      <c r="D3" s="111" t="s">
        <v>511</v>
      </c>
      <c r="E3" s="111" t="s">
        <v>512</v>
      </c>
      <c r="F3" s="111" t="s">
        <v>513</v>
      </c>
      <c r="G3" s="111" t="s">
        <v>514</v>
      </c>
      <c r="H3" s="111" t="s">
        <v>515</v>
      </c>
      <c r="I3" s="111" t="s">
        <v>516</v>
      </c>
      <c r="J3" s="174" t="s">
        <v>517</v>
      </c>
      <c r="K3" s="215" t="s">
        <v>518</v>
      </c>
      <c r="L3" s="189" t="s">
        <v>519</v>
      </c>
      <c r="M3" s="111" t="s">
        <v>520</v>
      </c>
      <c r="N3" s="112" t="s">
        <v>521</v>
      </c>
      <c r="P3" s="285" t="s">
        <v>833</v>
      </c>
      <c r="Q3" s="111" t="s">
        <v>832</v>
      </c>
      <c r="R3" s="174" t="s">
        <v>1013</v>
      </c>
      <c r="S3" s="286" t="s">
        <v>1121</v>
      </c>
      <c r="U3" s="684" t="s">
        <v>884</v>
      </c>
      <c r="V3" s="685"/>
      <c r="W3" s="685"/>
      <c r="X3" s="685"/>
      <c r="Y3" s="685"/>
      <c r="Z3" s="686"/>
    </row>
    <row r="4" spans="2:26" x14ac:dyDescent="0.25">
      <c r="B4" s="162" t="s">
        <v>926</v>
      </c>
      <c r="C4" s="163"/>
      <c r="D4" s="163"/>
      <c r="E4" s="163"/>
      <c r="F4" s="163"/>
      <c r="G4" s="163"/>
      <c r="H4" s="163"/>
      <c r="I4" s="164">
        <v>7912</v>
      </c>
      <c r="J4" s="164">
        <v>7912</v>
      </c>
      <c r="K4" s="164">
        <v>7912</v>
      </c>
      <c r="L4" s="164">
        <v>10312</v>
      </c>
      <c r="M4" s="164">
        <v>10312</v>
      </c>
      <c r="N4" s="164">
        <v>10312</v>
      </c>
      <c r="P4" s="287" t="s">
        <v>1120</v>
      </c>
      <c r="Q4" s="288" t="s">
        <v>1091</v>
      </c>
      <c r="R4" s="288" t="s">
        <v>998</v>
      </c>
      <c r="S4" s="289">
        <v>886.3</v>
      </c>
      <c r="U4" s="664" t="s">
        <v>886</v>
      </c>
      <c r="V4" s="665"/>
      <c r="W4" s="665"/>
      <c r="X4" s="665"/>
      <c r="Y4" s="665"/>
      <c r="Z4" s="666"/>
    </row>
    <row r="5" spans="2:26" x14ac:dyDescent="0.25">
      <c r="B5" s="152" t="s">
        <v>927</v>
      </c>
      <c r="C5" s="144"/>
      <c r="D5" s="144"/>
      <c r="E5" s="144"/>
      <c r="F5" s="144"/>
      <c r="G5" s="144"/>
      <c r="H5" s="144"/>
      <c r="I5" s="150">
        <v>5467</v>
      </c>
      <c r="J5" s="150">
        <v>5456</v>
      </c>
      <c r="K5" s="150">
        <v>5527</v>
      </c>
      <c r="L5" s="150">
        <v>5899</v>
      </c>
      <c r="M5" s="150">
        <v>5939</v>
      </c>
      <c r="N5" s="150">
        <v>6034</v>
      </c>
      <c r="P5" s="287" t="s">
        <v>1119</v>
      </c>
      <c r="Q5" s="288" t="s">
        <v>1091</v>
      </c>
      <c r="R5" s="288" t="s">
        <v>998</v>
      </c>
      <c r="S5" s="289">
        <v>845.4</v>
      </c>
      <c r="U5" s="649" t="s">
        <v>887</v>
      </c>
      <c r="V5" s="663"/>
      <c r="W5" s="663"/>
      <c r="X5" s="663"/>
      <c r="Y5" s="663"/>
      <c r="Z5" s="650"/>
    </row>
    <row r="6" spans="2:26" x14ac:dyDescent="0.25">
      <c r="B6" s="152" t="s">
        <v>928</v>
      </c>
      <c r="C6" s="144"/>
      <c r="D6" s="144"/>
      <c r="E6" s="144"/>
      <c r="F6" s="144"/>
      <c r="G6" s="144"/>
      <c r="H6" s="149"/>
      <c r="I6" s="192">
        <v>2340</v>
      </c>
      <c r="J6" s="192">
        <f>J4-J5</f>
        <v>2456</v>
      </c>
      <c r="K6" s="192">
        <f>K4-K5</f>
        <v>2385</v>
      </c>
      <c r="L6" s="192">
        <v>4308</v>
      </c>
      <c r="M6" s="192">
        <v>4268</v>
      </c>
      <c r="N6" s="192">
        <v>4173</v>
      </c>
      <c r="P6" s="287" t="s">
        <v>1056</v>
      </c>
      <c r="Q6" s="288" t="s">
        <v>943</v>
      </c>
      <c r="R6" s="288" t="s">
        <v>948</v>
      </c>
      <c r="S6" s="289">
        <v>660</v>
      </c>
      <c r="U6" s="664" t="s">
        <v>889</v>
      </c>
      <c r="V6" s="665"/>
      <c r="W6" s="665"/>
      <c r="X6" s="665"/>
      <c r="Y6" s="665"/>
      <c r="Z6" s="666"/>
    </row>
    <row r="7" spans="2:26" x14ac:dyDescent="0.25">
      <c r="B7" s="152" t="s">
        <v>938</v>
      </c>
      <c r="C7" s="144"/>
      <c r="D7" s="144"/>
      <c r="E7" s="144"/>
      <c r="F7" s="144"/>
      <c r="G7" s="144"/>
      <c r="H7" s="149"/>
      <c r="I7" s="193">
        <f>100/I4*I6*0.01</f>
        <v>0.29575328614762386</v>
      </c>
      <c r="J7" s="193">
        <f>100/J4*J6*0.01</f>
        <v>0.3104145601617796</v>
      </c>
      <c r="K7" s="193">
        <f>100/K4*K6*0.01</f>
        <v>0.30144084934277049</v>
      </c>
      <c r="L7" s="193">
        <f>100/L4*L6*0.01</f>
        <v>0.41776570985259887</v>
      </c>
      <c r="M7" s="193">
        <v>0.41388673390224984</v>
      </c>
      <c r="N7" s="275">
        <f>N6/N4</f>
        <v>0.4046741660201707</v>
      </c>
      <c r="P7" s="287" t="s">
        <v>1076</v>
      </c>
      <c r="Q7" s="288" t="s">
        <v>979</v>
      </c>
      <c r="R7" s="288" t="s">
        <v>983</v>
      </c>
      <c r="S7" s="289">
        <v>574.6</v>
      </c>
      <c r="U7" s="649" t="s">
        <v>892</v>
      </c>
      <c r="V7" s="663"/>
      <c r="W7" s="663"/>
      <c r="X7" s="663"/>
      <c r="Y7" s="663"/>
      <c r="Z7" s="650"/>
    </row>
    <row r="8" spans="2:26" x14ac:dyDescent="0.25">
      <c r="B8" s="153" t="s">
        <v>929</v>
      </c>
      <c r="C8" s="146"/>
      <c r="D8" s="146"/>
      <c r="E8" s="146"/>
      <c r="F8" s="146"/>
      <c r="G8" s="146"/>
      <c r="H8" s="146"/>
      <c r="I8" s="148">
        <v>24777</v>
      </c>
      <c r="J8" s="148">
        <v>24777</v>
      </c>
      <c r="K8" s="148">
        <v>20197</v>
      </c>
      <c r="L8" s="148">
        <v>20197</v>
      </c>
      <c r="M8" s="148">
        <v>20197</v>
      </c>
      <c r="N8" s="148">
        <v>20197</v>
      </c>
      <c r="P8" s="287" t="s">
        <v>1062</v>
      </c>
      <c r="Q8" s="288" t="s">
        <v>943</v>
      </c>
      <c r="R8" s="288" t="s">
        <v>953</v>
      </c>
      <c r="S8" s="289">
        <v>524.20000000000005</v>
      </c>
      <c r="U8" s="664" t="s">
        <v>894</v>
      </c>
      <c r="V8" s="666"/>
      <c r="W8" s="664" t="s">
        <v>895</v>
      </c>
      <c r="X8" s="666"/>
      <c r="Y8" s="664" t="s">
        <v>896</v>
      </c>
      <c r="Z8" s="666"/>
    </row>
    <row r="9" spans="2:26" x14ac:dyDescent="0.25">
      <c r="B9" s="153" t="s">
        <v>930</v>
      </c>
      <c r="C9" s="146"/>
      <c r="D9" s="146"/>
      <c r="E9" s="146"/>
      <c r="F9" s="146"/>
      <c r="G9" s="146"/>
      <c r="H9" s="146"/>
      <c r="I9" s="145">
        <v>15622</v>
      </c>
      <c r="J9" s="145">
        <v>15408</v>
      </c>
      <c r="K9" s="145">
        <v>12973</v>
      </c>
      <c r="L9" s="145">
        <v>11946</v>
      </c>
      <c r="M9" s="145">
        <v>14559</v>
      </c>
      <c r="N9" s="145">
        <v>11387</v>
      </c>
      <c r="P9" s="287" t="s">
        <v>1017</v>
      </c>
      <c r="Q9" s="288" t="s">
        <v>943</v>
      </c>
      <c r="R9" s="288" t="s">
        <v>948</v>
      </c>
      <c r="S9" s="289">
        <v>463</v>
      </c>
      <c r="U9" s="672" t="s">
        <v>899</v>
      </c>
      <c r="V9" s="622"/>
      <c r="W9" s="672" t="s">
        <v>900</v>
      </c>
      <c r="X9" s="622"/>
      <c r="Y9" s="672" t="s">
        <v>901</v>
      </c>
      <c r="Z9" s="622"/>
    </row>
    <row r="10" spans="2:26" x14ac:dyDescent="0.25">
      <c r="B10" s="165" t="s">
        <v>931</v>
      </c>
      <c r="C10" s="166"/>
      <c r="D10" s="166"/>
      <c r="E10" s="166"/>
      <c r="F10" s="166"/>
      <c r="G10" s="166"/>
      <c r="H10" s="166"/>
      <c r="I10" s="197">
        <f>I8-I9</f>
        <v>9155</v>
      </c>
      <c r="J10" s="197">
        <f>J8-J9</f>
        <v>9369</v>
      </c>
      <c r="K10" s="197">
        <f>K8-K9</f>
        <v>7224</v>
      </c>
      <c r="L10" s="197">
        <v>8253</v>
      </c>
      <c r="M10" s="197">
        <v>5640</v>
      </c>
      <c r="N10" s="197">
        <v>8811</v>
      </c>
      <c r="P10" s="287" t="s">
        <v>1068</v>
      </c>
      <c r="Q10" s="288" t="s">
        <v>979</v>
      </c>
      <c r="R10" s="288" t="s">
        <v>983</v>
      </c>
      <c r="S10" s="289">
        <v>437.6</v>
      </c>
      <c r="U10" s="649" t="s">
        <v>903</v>
      </c>
      <c r="V10" s="650"/>
      <c r="W10" s="649" t="s">
        <v>903</v>
      </c>
      <c r="X10" s="650"/>
      <c r="Y10" s="649" t="s">
        <v>903</v>
      </c>
      <c r="Z10" s="650"/>
    </row>
    <row r="11" spans="2:26" x14ac:dyDescent="0.25">
      <c r="B11" s="168" t="s">
        <v>932</v>
      </c>
      <c r="C11" s="163"/>
      <c r="D11" s="163"/>
      <c r="E11" s="163"/>
      <c r="F11" s="163"/>
      <c r="G11" s="163"/>
      <c r="H11" s="163"/>
      <c r="I11" s="164">
        <v>7738</v>
      </c>
      <c r="J11" s="164">
        <v>7738</v>
      </c>
      <c r="K11" s="164">
        <v>8536</v>
      </c>
      <c r="L11" s="164">
        <v>4993</v>
      </c>
      <c r="M11" s="164">
        <v>4993</v>
      </c>
      <c r="N11" s="164">
        <v>4993</v>
      </c>
      <c r="P11" s="287" t="s">
        <v>1066</v>
      </c>
      <c r="Q11" s="288" t="s">
        <v>979</v>
      </c>
      <c r="R11" s="288" t="s">
        <v>980</v>
      </c>
      <c r="S11" s="289">
        <v>424.7</v>
      </c>
      <c r="U11" s="664" t="s">
        <v>904</v>
      </c>
      <c r="V11" s="665"/>
      <c r="W11" s="665"/>
      <c r="X11" s="665"/>
      <c r="Y11" s="665"/>
      <c r="Z11" s="666"/>
    </row>
    <row r="12" spans="2:26" x14ac:dyDescent="0.25">
      <c r="B12" s="154" t="s">
        <v>933</v>
      </c>
      <c r="C12" s="147"/>
      <c r="D12" s="147"/>
      <c r="E12" s="147"/>
      <c r="F12" s="147"/>
      <c r="G12" s="147"/>
      <c r="H12" s="147"/>
      <c r="I12" s="150">
        <v>2722</v>
      </c>
      <c r="J12" s="150">
        <v>2730</v>
      </c>
      <c r="K12" s="150">
        <v>2845</v>
      </c>
      <c r="L12" s="150">
        <v>2771</v>
      </c>
      <c r="M12" s="150">
        <v>2783</v>
      </c>
      <c r="N12" s="150">
        <v>2807</v>
      </c>
      <c r="P12" s="287" t="s">
        <v>1058</v>
      </c>
      <c r="Q12" s="288" t="s">
        <v>943</v>
      </c>
      <c r="R12" s="288" t="s">
        <v>953</v>
      </c>
      <c r="S12" s="289">
        <v>415.1</v>
      </c>
      <c r="U12" s="649" t="s">
        <v>906</v>
      </c>
      <c r="V12" s="663"/>
      <c r="W12" s="663"/>
      <c r="X12" s="663"/>
      <c r="Y12" s="663"/>
      <c r="Z12" s="650"/>
    </row>
    <row r="13" spans="2:26" x14ac:dyDescent="0.25">
      <c r="B13" s="154" t="s">
        <v>934</v>
      </c>
      <c r="C13" s="147"/>
      <c r="D13" s="147"/>
      <c r="E13" s="147"/>
      <c r="F13" s="147"/>
      <c r="G13" s="147"/>
      <c r="H13" s="160"/>
      <c r="I13" s="192">
        <f>I11-I12</f>
        <v>5016</v>
      </c>
      <c r="J13" s="192">
        <f>J11-J12</f>
        <v>5008</v>
      </c>
      <c r="K13" s="192">
        <f>K11-K12</f>
        <v>5691</v>
      </c>
      <c r="L13" s="192">
        <v>2222</v>
      </c>
      <c r="M13" s="192">
        <v>2210</v>
      </c>
      <c r="N13" s="192">
        <v>2185</v>
      </c>
      <c r="P13" s="287" t="s">
        <v>1055</v>
      </c>
      <c r="Q13" s="288" t="s">
        <v>943</v>
      </c>
      <c r="R13" s="288" t="s">
        <v>953</v>
      </c>
      <c r="S13" s="289">
        <v>396.2</v>
      </c>
      <c r="U13" s="664" t="s">
        <v>908</v>
      </c>
      <c r="V13" s="666"/>
      <c r="W13" s="664" t="s">
        <v>909</v>
      </c>
      <c r="X13" s="666"/>
      <c r="Y13" s="664" t="s">
        <v>1247</v>
      </c>
      <c r="Z13" s="666"/>
    </row>
    <row r="14" spans="2:26" x14ac:dyDescent="0.25">
      <c r="B14" s="154" t="s">
        <v>939</v>
      </c>
      <c r="C14" s="147"/>
      <c r="D14" s="147"/>
      <c r="E14" s="147"/>
      <c r="F14" s="147"/>
      <c r="G14" s="147"/>
      <c r="H14" s="160"/>
      <c r="I14" s="194">
        <f>100/I11*I13*0.01</f>
        <v>0.64822951667097439</v>
      </c>
      <c r="J14" s="194">
        <f>100/J11*J13*0.01</f>
        <v>0.64719565779271138</v>
      </c>
      <c r="K14" s="194">
        <f>100/K11*K13*0.01</f>
        <v>0.66670571696344894</v>
      </c>
      <c r="L14" s="194">
        <f>100/L11*L13*0.01</f>
        <v>0.44502303224514317</v>
      </c>
      <c r="M14" s="194">
        <v>0.44261966753454834</v>
      </c>
      <c r="N14" s="276">
        <f>N13/N11</f>
        <v>0.43761265772080915</v>
      </c>
      <c r="P14" s="290" t="s">
        <v>1057</v>
      </c>
      <c r="Q14" s="20" t="s">
        <v>943</v>
      </c>
      <c r="R14" s="20" t="s">
        <v>958</v>
      </c>
      <c r="S14" s="291">
        <v>363.3</v>
      </c>
      <c r="U14" s="672" t="s">
        <v>912</v>
      </c>
      <c r="V14" s="622"/>
      <c r="W14" s="672" t="s">
        <v>913</v>
      </c>
      <c r="X14" s="622"/>
      <c r="Y14" s="672" t="s">
        <v>1244</v>
      </c>
      <c r="Z14" s="622"/>
    </row>
    <row r="15" spans="2:26" x14ac:dyDescent="0.25">
      <c r="B15" s="155" t="s">
        <v>935</v>
      </c>
      <c r="C15" s="147"/>
      <c r="D15" s="147"/>
      <c r="E15" s="147"/>
      <c r="F15" s="147"/>
      <c r="G15" s="147"/>
      <c r="H15" s="147"/>
      <c r="I15" s="148">
        <v>11997</v>
      </c>
      <c r="J15" s="148">
        <v>11997</v>
      </c>
      <c r="K15" s="148">
        <v>11997</v>
      </c>
      <c r="L15" s="148">
        <v>11908</v>
      </c>
      <c r="M15" s="148">
        <v>11908</v>
      </c>
      <c r="N15" s="148">
        <v>11908</v>
      </c>
      <c r="P15" s="290" t="s">
        <v>1059</v>
      </c>
      <c r="Q15" s="20" t="s">
        <v>943</v>
      </c>
      <c r="R15" s="20" t="s">
        <v>948</v>
      </c>
      <c r="S15" s="291">
        <v>360.7</v>
      </c>
      <c r="U15" s="649" t="s">
        <v>903</v>
      </c>
      <c r="V15" s="650"/>
      <c r="W15" s="649" t="s">
        <v>903</v>
      </c>
      <c r="X15" s="650"/>
      <c r="Y15" s="649" t="s">
        <v>903</v>
      </c>
      <c r="Z15" s="650"/>
    </row>
    <row r="16" spans="2:26" x14ac:dyDescent="0.25">
      <c r="B16" s="155" t="s">
        <v>936</v>
      </c>
      <c r="C16" s="147"/>
      <c r="D16" s="147"/>
      <c r="E16" s="147"/>
      <c r="F16" s="147"/>
      <c r="G16" s="147"/>
      <c r="H16" s="147"/>
      <c r="I16" s="145">
        <v>7111</v>
      </c>
      <c r="J16" s="145">
        <v>7100</v>
      </c>
      <c r="K16" s="145">
        <v>8192</v>
      </c>
      <c r="L16" s="145">
        <v>6813</v>
      </c>
      <c r="M16" s="145">
        <v>9362</v>
      </c>
      <c r="N16" s="145">
        <v>7732</v>
      </c>
      <c r="P16" s="290" t="s">
        <v>1069</v>
      </c>
      <c r="Q16" s="20" t="s">
        <v>979</v>
      </c>
      <c r="R16" s="20" t="s">
        <v>980</v>
      </c>
      <c r="S16" s="291">
        <v>350.8</v>
      </c>
      <c r="U16" s="651" t="s">
        <v>914</v>
      </c>
      <c r="V16" s="652"/>
      <c r="W16" s="651" t="s">
        <v>914</v>
      </c>
      <c r="X16" s="652"/>
      <c r="Y16" s="177"/>
      <c r="Z16" s="207"/>
    </row>
    <row r="17" spans="2:33" x14ac:dyDescent="0.25">
      <c r="B17" s="169" t="s">
        <v>937</v>
      </c>
      <c r="C17" s="159"/>
      <c r="D17" s="159"/>
      <c r="E17" s="159"/>
      <c r="F17" s="159"/>
      <c r="G17" s="159"/>
      <c r="H17" s="159"/>
      <c r="I17" s="197">
        <f>I15-I16</f>
        <v>4886</v>
      </c>
      <c r="J17" s="197">
        <f>J15-J16</f>
        <v>4897</v>
      </c>
      <c r="K17" s="197">
        <f>K15-K16</f>
        <v>3805</v>
      </c>
      <c r="L17" s="197">
        <v>5095</v>
      </c>
      <c r="M17" s="197">
        <v>2546</v>
      </c>
      <c r="N17" s="197">
        <v>4176</v>
      </c>
      <c r="P17" s="290" t="s">
        <v>1061</v>
      </c>
      <c r="Q17" s="20" t="s">
        <v>943</v>
      </c>
      <c r="R17" s="20" t="s">
        <v>948</v>
      </c>
      <c r="S17" s="291">
        <v>329.5</v>
      </c>
      <c r="U17" s="647" t="s">
        <v>915</v>
      </c>
      <c r="V17" s="648"/>
      <c r="W17" s="647" t="s">
        <v>916</v>
      </c>
      <c r="X17" s="648"/>
      <c r="Y17" s="177"/>
      <c r="Z17" s="207"/>
    </row>
    <row r="18" spans="2:33" x14ac:dyDescent="0.25">
      <c r="B18" s="171" t="s">
        <v>809</v>
      </c>
      <c r="C18" s="172"/>
      <c r="D18" s="172"/>
      <c r="E18" s="172"/>
      <c r="F18" s="172"/>
      <c r="G18" s="172"/>
      <c r="H18" s="172"/>
      <c r="I18" s="164">
        <v>31752</v>
      </c>
      <c r="J18" s="164">
        <v>31752</v>
      </c>
      <c r="K18" s="164">
        <v>31752</v>
      </c>
      <c r="L18" s="164">
        <v>31752</v>
      </c>
      <c r="M18" s="164">
        <v>31752</v>
      </c>
      <c r="N18" s="164">
        <v>31752</v>
      </c>
      <c r="P18" s="290" t="s">
        <v>1105</v>
      </c>
      <c r="Q18" s="20" t="s">
        <v>1091</v>
      </c>
      <c r="R18" s="20" t="s">
        <v>998</v>
      </c>
      <c r="S18" s="291">
        <v>249.7</v>
      </c>
      <c r="U18" s="649" t="s">
        <v>903</v>
      </c>
      <c r="V18" s="650"/>
      <c r="W18" s="720" t="s">
        <v>918</v>
      </c>
      <c r="X18" s="721"/>
      <c r="Y18" s="177"/>
      <c r="Z18" s="207"/>
    </row>
    <row r="19" spans="2:33" x14ac:dyDescent="0.25">
      <c r="B19" s="156" t="s">
        <v>811</v>
      </c>
      <c r="C19" s="147"/>
      <c r="D19" s="147"/>
      <c r="E19" s="147"/>
      <c r="F19" s="147"/>
      <c r="G19" s="147"/>
      <c r="H19" s="147"/>
      <c r="I19" s="150">
        <v>13325</v>
      </c>
      <c r="J19" s="150">
        <v>12598</v>
      </c>
      <c r="K19" s="150">
        <v>12767</v>
      </c>
      <c r="L19" s="150">
        <v>12941</v>
      </c>
      <c r="M19" s="150">
        <v>13815</v>
      </c>
      <c r="N19" s="150">
        <v>13526</v>
      </c>
      <c r="P19" s="290" t="s">
        <v>1099</v>
      </c>
      <c r="Q19" s="20" t="s">
        <v>1091</v>
      </c>
      <c r="R19" s="20" t="s">
        <v>995</v>
      </c>
      <c r="S19" s="291">
        <v>242.1</v>
      </c>
      <c r="U19" s="201"/>
      <c r="V19" s="208"/>
      <c r="W19" s="208"/>
      <c r="X19" s="208"/>
      <c r="Y19" s="208"/>
      <c r="Z19" s="209"/>
    </row>
    <row r="20" spans="2:33" x14ac:dyDescent="0.25">
      <c r="B20" s="156" t="s">
        <v>810</v>
      </c>
      <c r="C20" s="147"/>
      <c r="D20" s="147"/>
      <c r="E20" s="147"/>
      <c r="F20" s="147"/>
      <c r="G20" s="147"/>
      <c r="H20" s="160"/>
      <c r="I20" s="192">
        <f>I18-I19</f>
        <v>18427</v>
      </c>
      <c r="J20" s="192">
        <f>J18-J19</f>
        <v>19154</v>
      </c>
      <c r="K20" s="192">
        <f>K18-K19</f>
        <v>18985</v>
      </c>
      <c r="L20" s="192">
        <v>18811</v>
      </c>
      <c r="M20" s="192">
        <v>17940</v>
      </c>
      <c r="N20" s="192">
        <v>18228</v>
      </c>
      <c r="P20" s="290" t="s">
        <v>1063</v>
      </c>
      <c r="Q20" s="20" t="s">
        <v>943</v>
      </c>
      <c r="R20" s="20" t="s">
        <v>948</v>
      </c>
      <c r="S20" s="291">
        <v>223.1</v>
      </c>
      <c r="V20" s="205"/>
      <c r="W20" s="205"/>
      <c r="X20" s="205"/>
      <c r="Y20" s="205"/>
      <c r="Z20" s="205"/>
    </row>
    <row r="21" spans="2:33" x14ac:dyDescent="0.25">
      <c r="B21" s="173" t="s">
        <v>940</v>
      </c>
      <c r="C21" s="159"/>
      <c r="D21" s="159"/>
      <c r="E21" s="159"/>
      <c r="F21" s="159"/>
      <c r="G21" s="159"/>
      <c r="H21" s="161"/>
      <c r="I21" s="195">
        <f>100/I18*I20*0.01</f>
        <v>0.58034139581758637</v>
      </c>
      <c r="J21" s="195">
        <f>100/J18*J20*0.01</f>
        <v>0.60323759133282939</v>
      </c>
      <c r="K21" s="195">
        <f>100/K18*K20*0.01</f>
        <v>0.59791509196271098</v>
      </c>
      <c r="L21" s="195">
        <f>100/L18*L20*0.01</f>
        <v>0.59243512219702699</v>
      </c>
      <c r="M21" s="195">
        <v>0.56500377928949352</v>
      </c>
      <c r="N21" s="277">
        <f>N20/N18</f>
        <v>0.57407407407407407</v>
      </c>
      <c r="P21" s="290" t="s">
        <v>1074</v>
      </c>
      <c r="Q21" s="20" t="s">
        <v>979</v>
      </c>
      <c r="R21" s="20" t="s">
        <v>983</v>
      </c>
      <c r="S21" s="291">
        <v>175.1</v>
      </c>
      <c r="U21" s="175" t="s">
        <v>1185</v>
      </c>
      <c r="V21" s="205"/>
      <c r="W21" s="205"/>
      <c r="X21" s="205"/>
      <c r="Y21" s="205"/>
      <c r="Z21" s="205"/>
    </row>
    <row r="22" spans="2:33" x14ac:dyDescent="0.25">
      <c r="B22" s="170" t="s">
        <v>812</v>
      </c>
      <c r="C22" s="167"/>
      <c r="D22" s="167"/>
      <c r="E22" s="167"/>
      <c r="F22" s="167"/>
      <c r="G22" s="167"/>
      <c r="H22" s="167"/>
      <c r="I22" s="148">
        <v>11836</v>
      </c>
      <c r="J22" s="148">
        <v>11836</v>
      </c>
      <c r="K22" s="148">
        <v>11836</v>
      </c>
      <c r="L22" s="148">
        <v>11836</v>
      </c>
      <c r="M22" s="148">
        <v>11836</v>
      </c>
      <c r="N22" s="148">
        <v>11836</v>
      </c>
      <c r="P22" s="290" t="s">
        <v>1042</v>
      </c>
      <c r="Q22" s="20" t="s">
        <v>943</v>
      </c>
      <c r="R22" s="20" t="s">
        <v>958</v>
      </c>
      <c r="S22" s="291">
        <v>166.4</v>
      </c>
      <c r="U22" s="176" t="s">
        <v>919</v>
      </c>
      <c r="V22" s="205"/>
      <c r="W22" s="205"/>
      <c r="X22" s="205"/>
      <c r="Y22" s="205"/>
      <c r="Z22" s="205"/>
    </row>
    <row r="23" spans="2:33" x14ac:dyDescent="0.25">
      <c r="B23" s="157" t="s">
        <v>813</v>
      </c>
      <c r="C23" s="147"/>
      <c r="D23" s="147"/>
      <c r="E23" s="147"/>
      <c r="F23" s="147"/>
      <c r="G23" s="147"/>
      <c r="H23" s="147"/>
      <c r="I23" s="150">
        <v>6500</v>
      </c>
      <c r="J23" s="150">
        <v>7222</v>
      </c>
      <c r="K23" s="150">
        <v>7936</v>
      </c>
      <c r="L23" s="150">
        <v>8538</v>
      </c>
      <c r="M23" s="150">
        <v>9395</v>
      </c>
      <c r="N23" s="150">
        <v>9988</v>
      </c>
      <c r="P23" s="290" t="s">
        <v>1034</v>
      </c>
      <c r="Q23" s="20" t="s">
        <v>943</v>
      </c>
      <c r="R23" s="20" t="s">
        <v>958</v>
      </c>
      <c r="S23" s="291">
        <v>147.6</v>
      </c>
      <c r="U23" s="176"/>
      <c r="V23" s="205"/>
      <c r="W23" s="205"/>
      <c r="X23" s="205"/>
      <c r="Y23" s="205"/>
      <c r="Z23" s="205"/>
    </row>
    <row r="24" spans="2:33" x14ac:dyDescent="0.25">
      <c r="B24" s="157" t="s">
        <v>814</v>
      </c>
      <c r="C24" s="147"/>
      <c r="D24" s="147"/>
      <c r="E24" s="147"/>
      <c r="F24" s="147"/>
      <c r="G24" s="147"/>
      <c r="H24" s="160"/>
      <c r="I24" s="192">
        <f>I22-I23</f>
        <v>5336</v>
      </c>
      <c r="J24" s="192">
        <f>J22-J23</f>
        <v>4614</v>
      </c>
      <c r="K24" s="192">
        <f>K22-K23</f>
        <v>3900</v>
      </c>
      <c r="L24" s="192">
        <v>3298</v>
      </c>
      <c r="M24" s="192">
        <v>2441</v>
      </c>
      <c r="N24" s="192">
        <v>1849</v>
      </c>
      <c r="P24" s="290" t="s">
        <v>1073</v>
      </c>
      <c r="Q24" s="20" t="s">
        <v>979</v>
      </c>
      <c r="R24" s="20" t="s">
        <v>982</v>
      </c>
      <c r="S24" s="291">
        <v>139.6</v>
      </c>
      <c r="U24" s="205"/>
      <c r="V24" s="205"/>
      <c r="W24" s="205"/>
      <c r="X24" s="205"/>
      <c r="Y24" s="205"/>
      <c r="Z24" s="205"/>
      <c r="AB24" s="54"/>
      <c r="AC24" s="54"/>
      <c r="AD24" s="54"/>
      <c r="AE24" s="54"/>
      <c r="AF24" s="54"/>
      <c r="AG24" s="54"/>
    </row>
    <row r="25" spans="2:33" ht="18.75" x14ac:dyDescent="0.25">
      <c r="B25" s="158" t="s">
        <v>941</v>
      </c>
      <c r="C25" s="159"/>
      <c r="D25" s="159"/>
      <c r="E25" s="159"/>
      <c r="F25" s="159"/>
      <c r="G25" s="159"/>
      <c r="H25" s="161"/>
      <c r="I25" s="196">
        <f>100/I22*I24*0.01</f>
        <v>0.45082798242649547</v>
      </c>
      <c r="J25" s="196">
        <f>100/J22*J24*0.01</f>
        <v>0.3898276444744847</v>
      </c>
      <c r="K25" s="196">
        <f>100/K22*K24*0.01</f>
        <v>0.32950321054410275</v>
      </c>
      <c r="L25" s="196">
        <f>100/L22*L24*0.01</f>
        <v>0.27864143291652588</v>
      </c>
      <c r="M25" s="196">
        <v>0.20623521459952687</v>
      </c>
      <c r="N25" s="278">
        <f>N24/N22</f>
        <v>0.15621831699898614</v>
      </c>
      <c r="P25" s="290" t="s">
        <v>1102</v>
      </c>
      <c r="Q25" s="20" t="s">
        <v>1091</v>
      </c>
      <c r="R25" s="20" t="s">
        <v>995</v>
      </c>
      <c r="S25" s="291">
        <v>139.6</v>
      </c>
      <c r="U25" s="678" t="s">
        <v>880</v>
      </c>
      <c r="V25" s="679"/>
      <c r="W25" s="679"/>
      <c r="X25" s="679"/>
      <c r="Y25" s="679"/>
      <c r="Z25" s="680"/>
      <c r="AB25" s="54"/>
      <c r="AC25" s="54"/>
      <c r="AD25" s="54"/>
      <c r="AE25" s="54"/>
      <c r="AF25" s="54"/>
      <c r="AG25" s="54"/>
    </row>
    <row r="26" spans="2:33" x14ac:dyDescent="0.25">
      <c r="P26" s="290" t="s">
        <v>1025</v>
      </c>
      <c r="Q26" s="20" t="s">
        <v>943</v>
      </c>
      <c r="R26" s="20" t="s">
        <v>948</v>
      </c>
      <c r="S26" s="291">
        <v>137.6</v>
      </c>
      <c r="U26" s="684" t="s">
        <v>883</v>
      </c>
      <c r="V26" s="685"/>
      <c r="W26" s="685"/>
      <c r="X26" s="685"/>
      <c r="Y26" s="685"/>
      <c r="Z26" s="686"/>
    </row>
    <row r="27" spans="2:33" ht="21.75" customHeight="1" x14ac:dyDescent="0.25">
      <c r="B27" s="687" t="s">
        <v>1246</v>
      </c>
      <c r="C27" s="688"/>
      <c r="D27" s="688"/>
      <c r="E27" s="688"/>
      <c r="F27" s="688"/>
      <c r="G27" s="688"/>
      <c r="H27" s="688"/>
      <c r="I27" s="688"/>
      <c r="J27" s="688"/>
      <c r="K27" s="688"/>
      <c r="L27" s="688"/>
      <c r="M27" s="688"/>
      <c r="N27" s="689"/>
      <c r="P27" s="290" t="s">
        <v>1080</v>
      </c>
      <c r="Q27" s="20" t="s">
        <v>979</v>
      </c>
      <c r="R27" s="20" t="s">
        <v>982</v>
      </c>
      <c r="S27" s="291">
        <v>137</v>
      </c>
      <c r="U27" s="664" t="s">
        <v>886</v>
      </c>
      <c r="V27" s="665"/>
      <c r="W27" s="665"/>
      <c r="X27" s="665"/>
      <c r="Y27" s="665"/>
      <c r="Z27" s="666"/>
    </row>
    <row r="28" spans="2:33" x14ac:dyDescent="0.25">
      <c r="B28" s="295" t="s">
        <v>815</v>
      </c>
      <c r="C28" s="260" t="s">
        <v>817</v>
      </c>
      <c r="D28" s="260" t="s">
        <v>844</v>
      </c>
      <c r="E28" s="690" t="s">
        <v>816</v>
      </c>
      <c r="F28" s="690"/>
      <c r="G28" s="690"/>
      <c r="H28" s="690"/>
      <c r="I28" s="690" t="s">
        <v>818</v>
      </c>
      <c r="J28" s="690"/>
      <c r="K28" s="690" t="s">
        <v>819</v>
      </c>
      <c r="L28" s="690"/>
      <c r="M28" s="690" t="s">
        <v>5</v>
      </c>
      <c r="N28" s="691"/>
      <c r="P28" s="290" t="s">
        <v>1060</v>
      </c>
      <c r="Q28" s="20" t="s">
        <v>943</v>
      </c>
      <c r="R28" s="20" t="s">
        <v>953</v>
      </c>
      <c r="S28" s="291">
        <v>126.7</v>
      </c>
      <c r="U28" s="649" t="s">
        <v>887</v>
      </c>
      <c r="V28" s="663"/>
      <c r="W28" s="663"/>
      <c r="X28" s="663"/>
      <c r="Y28" s="663"/>
      <c r="Z28" s="650"/>
    </row>
    <row r="29" spans="2:33" x14ac:dyDescent="0.25">
      <c r="B29" s="296" t="s">
        <v>943</v>
      </c>
      <c r="C29" s="267" t="s">
        <v>820</v>
      </c>
      <c r="D29" s="186" t="s">
        <v>944</v>
      </c>
      <c r="E29" s="653" t="s">
        <v>945</v>
      </c>
      <c r="F29" s="653"/>
      <c r="G29" s="653"/>
      <c r="H29" s="653"/>
      <c r="I29" s="654" t="s">
        <v>946</v>
      </c>
      <c r="J29" s="654"/>
      <c r="K29" s="655" t="s">
        <v>947</v>
      </c>
      <c r="L29" s="655"/>
      <c r="M29" s="656" t="s">
        <v>1171</v>
      </c>
      <c r="N29" s="657"/>
      <c r="P29" s="290" t="s">
        <v>1033</v>
      </c>
      <c r="Q29" s="20" t="s">
        <v>943</v>
      </c>
      <c r="R29" s="20" t="s">
        <v>948</v>
      </c>
      <c r="S29" s="291">
        <v>124.2</v>
      </c>
      <c r="U29" s="664" t="s">
        <v>889</v>
      </c>
      <c r="V29" s="665"/>
      <c r="W29" s="665"/>
      <c r="X29" s="665"/>
      <c r="Y29" s="665"/>
      <c r="Z29" s="666"/>
    </row>
    <row r="30" spans="2:33" x14ac:dyDescent="0.25">
      <c r="B30" s="297" t="s">
        <v>1182</v>
      </c>
      <c r="C30" s="265" t="s">
        <v>820</v>
      </c>
      <c r="D30" s="151" t="s">
        <v>948</v>
      </c>
      <c r="E30" s="658" t="s">
        <v>949</v>
      </c>
      <c r="F30" s="658"/>
      <c r="G30" s="658"/>
      <c r="H30" s="658"/>
      <c r="I30" s="659" t="s">
        <v>950</v>
      </c>
      <c r="J30" s="659"/>
      <c r="K30" s="660" t="s">
        <v>951</v>
      </c>
      <c r="L30" s="660"/>
      <c r="M30" s="661" t="s">
        <v>952</v>
      </c>
      <c r="N30" s="662"/>
      <c r="P30" s="290" t="s">
        <v>1192</v>
      </c>
      <c r="Q30" s="20" t="s">
        <v>1091</v>
      </c>
      <c r="R30" s="20" t="s">
        <v>995</v>
      </c>
      <c r="S30" s="291">
        <v>119.7</v>
      </c>
      <c r="U30" s="649" t="s">
        <v>891</v>
      </c>
      <c r="V30" s="663"/>
      <c r="W30" s="663"/>
      <c r="X30" s="663"/>
      <c r="Y30" s="663"/>
      <c r="Z30" s="650"/>
    </row>
    <row r="31" spans="2:33" x14ac:dyDescent="0.25">
      <c r="B31" s="297" t="s">
        <v>1182</v>
      </c>
      <c r="C31" s="265" t="s">
        <v>820</v>
      </c>
      <c r="D31" s="151" t="s">
        <v>953</v>
      </c>
      <c r="E31" s="658" t="s">
        <v>954</v>
      </c>
      <c r="F31" s="658"/>
      <c r="G31" s="658"/>
      <c r="H31" s="658"/>
      <c r="I31" s="659" t="s">
        <v>955</v>
      </c>
      <c r="J31" s="659"/>
      <c r="K31" s="660" t="s">
        <v>956</v>
      </c>
      <c r="L31" s="660"/>
      <c r="M31" s="692" t="s">
        <v>957</v>
      </c>
      <c r="N31" s="693"/>
      <c r="P31" s="290" t="s">
        <v>1041</v>
      </c>
      <c r="Q31" s="20" t="s">
        <v>943</v>
      </c>
      <c r="R31" s="20" t="s">
        <v>953</v>
      </c>
      <c r="S31" s="291">
        <v>101.5</v>
      </c>
      <c r="U31" s="664" t="s">
        <v>894</v>
      </c>
      <c r="V31" s="666"/>
      <c r="W31" s="664" t="s">
        <v>895</v>
      </c>
      <c r="X31" s="666"/>
      <c r="Y31" s="664" t="s">
        <v>896</v>
      </c>
      <c r="Z31" s="666"/>
    </row>
    <row r="32" spans="2:33" x14ac:dyDescent="0.25">
      <c r="B32" s="297" t="s">
        <v>1182</v>
      </c>
      <c r="C32" s="265" t="s">
        <v>820</v>
      </c>
      <c r="D32" s="151" t="s">
        <v>958</v>
      </c>
      <c r="E32" s="658" t="s">
        <v>949</v>
      </c>
      <c r="F32" s="658"/>
      <c r="G32" s="658"/>
      <c r="H32" s="658"/>
      <c r="I32" s="659" t="s">
        <v>347</v>
      </c>
      <c r="J32" s="659"/>
      <c r="K32" s="660" t="s">
        <v>959</v>
      </c>
      <c r="L32" s="660"/>
      <c r="M32" s="692" t="s">
        <v>957</v>
      </c>
      <c r="N32" s="693"/>
      <c r="P32" s="290" t="s">
        <v>1094</v>
      </c>
      <c r="Q32" s="20" t="s">
        <v>1091</v>
      </c>
      <c r="R32" s="20" t="s">
        <v>998</v>
      </c>
      <c r="S32" s="291">
        <v>100.7</v>
      </c>
      <c r="U32" s="672" t="s">
        <v>897</v>
      </c>
      <c r="V32" s="622"/>
      <c r="W32" s="672" t="s">
        <v>898</v>
      </c>
      <c r="X32" s="622"/>
      <c r="Y32" s="672" t="s">
        <v>1122</v>
      </c>
      <c r="Z32" s="622"/>
    </row>
    <row r="33" spans="2:26" x14ac:dyDescent="0.25">
      <c r="B33" s="297" t="s">
        <v>1182</v>
      </c>
      <c r="C33" s="265" t="s">
        <v>960</v>
      </c>
      <c r="D33" s="151" t="s">
        <v>916</v>
      </c>
      <c r="E33" s="658" t="s">
        <v>961</v>
      </c>
      <c r="F33" s="658"/>
      <c r="G33" s="658"/>
      <c r="H33" s="658"/>
      <c r="I33" s="659" t="s">
        <v>962</v>
      </c>
      <c r="J33" s="659"/>
      <c r="K33" s="660" t="s">
        <v>1012</v>
      </c>
      <c r="L33" s="660"/>
      <c r="M33" s="692" t="s">
        <v>957</v>
      </c>
      <c r="N33" s="693"/>
      <c r="P33" s="290" t="s">
        <v>1064</v>
      </c>
      <c r="Q33" s="20" t="s">
        <v>943</v>
      </c>
      <c r="R33" s="20" t="s">
        <v>953</v>
      </c>
      <c r="S33" s="291">
        <v>98.8</v>
      </c>
      <c r="U33" s="649" t="s">
        <v>902</v>
      </c>
      <c r="V33" s="650"/>
      <c r="W33" s="649" t="s">
        <v>902</v>
      </c>
      <c r="X33" s="650"/>
      <c r="Y33" s="649" t="s">
        <v>902</v>
      </c>
      <c r="Z33" s="650"/>
    </row>
    <row r="34" spans="2:26" x14ac:dyDescent="0.25">
      <c r="B34" s="297" t="s">
        <v>1182</v>
      </c>
      <c r="C34" s="265" t="s">
        <v>960</v>
      </c>
      <c r="D34" s="151" t="s">
        <v>912</v>
      </c>
      <c r="E34" s="658" t="s">
        <v>963</v>
      </c>
      <c r="F34" s="658"/>
      <c r="G34" s="658"/>
      <c r="H34" s="658"/>
      <c r="I34" s="659" t="s">
        <v>964</v>
      </c>
      <c r="J34" s="659"/>
      <c r="K34" s="660" t="s">
        <v>965</v>
      </c>
      <c r="L34" s="660"/>
      <c r="M34" s="661" t="s">
        <v>952</v>
      </c>
      <c r="N34" s="662"/>
      <c r="P34" s="290" t="s">
        <v>1118</v>
      </c>
      <c r="Q34" s="20" t="s">
        <v>1091</v>
      </c>
      <c r="R34" s="20" t="s">
        <v>995</v>
      </c>
      <c r="S34" s="291">
        <v>95.6</v>
      </c>
      <c r="U34" s="664" t="s">
        <v>904</v>
      </c>
      <c r="V34" s="665"/>
      <c r="W34" s="665"/>
      <c r="X34" s="665"/>
      <c r="Y34" s="665"/>
      <c r="Z34" s="666"/>
    </row>
    <row r="35" spans="2:26" x14ac:dyDescent="0.25">
      <c r="B35" s="297" t="s">
        <v>1182</v>
      </c>
      <c r="C35" s="265" t="s">
        <v>960</v>
      </c>
      <c r="D35" s="151" t="s">
        <v>913</v>
      </c>
      <c r="E35" s="658" t="s">
        <v>963</v>
      </c>
      <c r="F35" s="658"/>
      <c r="G35" s="658"/>
      <c r="H35" s="658"/>
      <c r="I35" s="659" t="s">
        <v>966</v>
      </c>
      <c r="J35" s="659"/>
      <c r="K35" s="660" t="s">
        <v>967</v>
      </c>
      <c r="L35" s="660"/>
      <c r="M35" s="661" t="s">
        <v>952</v>
      </c>
      <c r="N35" s="662"/>
      <c r="P35" s="290" t="s">
        <v>1019</v>
      </c>
      <c r="Q35" s="20" t="s">
        <v>943</v>
      </c>
      <c r="R35" s="20" t="s">
        <v>948</v>
      </c>
      <c r="S35" s="291">
        <v>92.1</v>
      </c>
      <c r="U35" s="649" t="s">
        <v>905</v>
      </c>
      <c r="V35" s="663"/>
      <c r="W35" s="663"/>
      <c r="X35" s="663"/>
      <c r="Y35" s="663"/>
      <c r="Z35" s="650"/>
    </row>
    <row r="36" spans="2:26" x14ac:dyDescent="0.25">
      <c r="B36" s="297" t="s">
        <v>1182</v>
      </c>
      <c r="C36" s="265" t="s">
        <v>960</v>
      </c>
      <c r="D36" s="151" t="s">
        <v>968</v>
      </c>
      <c r="E36" s="658" t="s">
        <v>969</v>
      </c>
      <c r="F36" s="658"/>
      <c r="G36" s="658"/>
      <c r="H36" s="658"/>
      <c r="I36" s="659" t="s">
        <v>970</v>
      </c>
      <c r="J36" s="659"/>
      <c r="K36" s="660" t="s">
        <v>971</v>
      </c>
      <c r="L36" s="660"/>
      <c r="M36" s="692" t="s">
        <v>957</v>
      </c>
      <c r="N36" s="693"/>
      <c r="P36" s="290" t="s">
        <v>1048</v>
      </c>
      <c r="Q36" s="20" t="s">
        <v>943</v>
      </c>
      <c r="R36" s="20" t="s">
        <v>958</v>
      </c>
      <c r="S36" s="291">
        <v>91.6</v>
      </c>
      <c r="U36" s="664" t="s">
        <v>908</v>
      </c>
      <c r="V36" s="666"/>
      <c r="Y36" s="175"/>
      <c r="Z36" s="206"/>
    </row>
    <row r="37" spans="2:26" x14ac:dyDescent="0.25">
      <c r="B37" s="297" t="s">
        <v>1182</v>
      </c>
      <c r="C37" s="265" t="s">
        <v>972</v>
      </c>
      <c r="D37" s="151" t="s">
        <v>973</v>
      </c>
      <c r="E37" s="658" t="s">
        <v>974</v>
      </c>
      <c r="F37" s="658"/>
      <c r="G37" s="658"/>
      <c r="H37" s="658"/>
      <c r="I37" s="659" t="s">
        <v>970</v>
      </c>
      <c r="J37" s="659"/>
      <c r="K37" s="660" t="s">
        <v>971</v>
      </c>
      <c r="L37" s="660"/>
      <c r="M37" s="692" t="s">
        <v>957</v>
      </c>
      <c r="N37" s="693"/>
      <c r="P37" s="290" t="s">
        <v>1191</v>
      </c>
      <c r="Q37" s="20" t="s">
        <v>1091</v>
      </c>
      <c r="R37" s="20" t="s">
        <v>995</v>
      </c>
      <c r="S37" s="291">
        <v>83.1</v>
      </c>
      <c r="U37" s="672" t="s">
        <v>910</v>
      </c>
      <c r="V37" s="622"/>
      <c r="Y37" s="176"/>
      <c r="Z37" s="203"/>
    </row>
    <row r="38" spans="2:26" x14ac:dyDescent="0.25">
      <c r="B38" s="297" t="s">
        <v>1182</v>
      </c>
      <c r="C38" s="265" t="s">
        <v>820</v>
      </c>
      <c r="D38" s="151" t="s">
        <v>975</v>
      </c>
      <c r="E38" s="658" t="s">
        <v>976</v>
      </c>
      <c r="F38" s="658"/>
      <c r="G38" s="658"/>
      <c r="H38" s="658"/>
      <c r="I38" s="659" t="s">
        <v>977</v>
      </c>
      <c r="J38" s="659"/>
      <c r="K38" s="660" t="s">
        <v>978</v>
      </c>
      <c r="L38" s="660"/>
      <c r="M38" s="692" t="s">
        <v>957</v>
      </c>
      <c r="N38" s="693"/>
      <c r="P38" s="290" t="s">
        <v>1117</v>
      </c>
      <c r="Q38" s="20" t="s">
        <v>1091</v>
      </c>
      <c r="R38" s="20" t="s">
        <v>1001</v>
      </c>
      <c r="S38" s="291">
        <v>76.900000000000006</v>
      </c>
      <c r="U38" s="649" t="s">
        <v>1123</v>
      </c>
      <c r="V38" s="650"/>
      <c r="Y38" s="176"/>
      <c r="Z38" s="203"/>
    </row>
    <row r="39" spans="2:26" x14ac:dyDescent="0.25">
      <c r="B39" s="297" t="s">
        <v>1183</v>
      </c>
      <c r="C39" s="265" t="s">
        <v>1240</v>
      </c>
      <c r="D39" s="151" t="s">
        <v>1241</v>
      </c>
      <c r="E39" s="658" t="s">
        <v>969</v>
      </c>
      <c r="F39" s="658"/>
      <c r="G39" s="658"/>
      <c r="H39" s="658"/>
      <c r="I39" s="694" t="s">
        <v>1242</v>
      </c>
      <c r="J39" s="695"/>
      <c r="K39" s="696" t="s">
        <v>1243</v>
      </c>
      <c r="L39" s="697"/>
      <c r="M39" s="661" t="s">
        <v>952</v>
      </c>
      <c r="N39" s="662"/>
      <c r="P39" s="290" t="s">
        <v>1044</v>
      </c>
      <c r="Q39" s="20" t="s">
        <v>943</v>
      </c>
      <c r="R39" s="20" t="s">
        <v>948</v>
      </c>
      <c r="S39" s="291">
        <v>76.7</v>
      </c>
      <c r="U39" s="219"/>
      <c r="V39" s="220"/>
      <c r="W39" s="222"/>
      <c r="X39" s="222"/>
      <c r="Y39" s="176"/>
      <c r="Z39" s="203"/>
    </row>
    <row r="40" spans="2:26" x14ac:dyDescent="0.25">
      <c r="B40" s="297" t="s">
        <v>1183</v>
      </c>
      <c r="C40" s="265" t="s">
        <v>820</v>
      </c>
      <c r="D40" s="151" t="s">
        <v>980</v>
      </c>
      <c r="E40" s="658" t="s">
        <v>954</v>
      </c>
      <c r="F40" s="658"/>
      <c r="G40" s="658"/>
      <c r="H40" s="658"/>
      <c r="I40" s="659" t="s">
        <v>981</v>
      </c>
      <c r="J40" s="659"/>
      <c r="K40" s="660" t="s">
        <v>950</v>
      </c>
      <c r="L40" s="660"/>
      <c r="M40" s="692" t="s">
        <v>957</v>
      </c>
      <c r="N40" s="693"/>
      <c r="P40" s="290" t="s">
        <v>1014</v>
      </c>
      <c r="Q40" s="20" t="s">
        <v>943</v>
      </c>
      <c r="R40" s="20" t="s">
        <v>958</v>
      </c>
      <c r="S40" s="291">
        <v>76</v>
      </c>
      <c r="U40" s="651" t="s">
        <v>914</v>
      </c>
      <c r="V40" s="652"/>
      <c r="W40" s="651" t="s">
        <v>914</v>
      </c>
      <c r="X40" s="652"/>
      <c r="Y40" s="177"/>
      <c r="Z40" s="207"/>
    </row>
    <row r="41" spans="2:26" x14ac:dyDescent="0.25">
      <c r="B41" s="297" t="s">
        <v>1183</v>
      </c>
      <c r="C41" s="265" t="s">
        <v>820</v>
      </c>
      <c r="D41" s="151" t="s">
        <v>982</v>
      </c>
      <c r="E41" s="658" t="s">
        <v>954</v>
      </c>
      <c r="F41" s="658"/>
      <c r="G41" s="658"/>
      <c r="H41" s="658"/>
      <c r="I41" s="659" t="s">
        <v>981</v>
      </c>
      <c r="J41" s="659"/>
      <c r="K41" s="660" t="s">
        <v>950</v>
      </c>
      <c r="L41" s="660"/>
      <c r="M41" s="692" t="s">
        <v>957</v>
      </c>
      <c r="N41" s="693"/>
      <c r="P41" s="290" t="s">
        <v>1022</v>
      </c>
      <c r="Q41" s="20" t="s">
        <v>943</v>
      </c>
      <c r="R41" s="20" t="s">
        <v>953</v>
      </c>
      <c r="S41" s="291">
        <v>74.3</v>
      </c>
      <c r="U41" s="670" t="s">
        <v>911</v>
      </c>
      <c r="V41" s="671"/>
      <c r="W41" s="670" t="s">
        <v>1248</v>
      </c>
      <c r="X41" s="671"/>
      <c r="Y41" s="176"/>
      <c r="Z41" s="203"/>
    </row>
    <row r="42" spans="2:26" x14ac:dyDescent="0.25">
      <c r="B42" s="297" t="s">
        <v>1183</v>
      </c>
      <c r="C42" s="265" t="s">
        <v>820</v>
      </c>
      <c r="D42" s="151" t="s">
        <v>983</v>
      </c>
      <c r="E42" s="658" t="s">
        <v>984</v>
      </c>
      <c r="F42" s="658"/>
      <c r="G42" s="658"/>
      <c r="H42" s="658"/>
      <c r="I42" s="659" t="s">
        <v>985</v>
      </c>
      <c r="J42" s="659"/>
      <c r="K42" s="660" t="s">
        <v>986</v>
      </c>
      <c r="L42" s="660"/>
      <c r="M42" s="661" t="s">
        <v>952</v>
      </c>
      <c r="N42" s="662"/>
      <c r="P42" s="290" t="s">
        <v>1072</v>
      </c>
      <c r="Q42" s="20" t="s">
        <v>979</v>
      </c>
      <c r="R42" s="20" t="s">
        <v>983</v>
      </c>
      <c r="S42" s="291">
        <v>73.3</v>
      </c>
      <c r="U42" s="649" t="s">
        <v>903</v>
      </c>
      <c r="V42" s="650"/>
      <c r="W42" s="649" t="s">
        <v>903</v>
      </c>
      <c r="X42" s="650"/>
      <c r="Y42" s="176"/>
      <c r="Z42" s="203"/>
    </row>
    <row r="43" spans="2:26" x14ac:dyDescent="0.25">
      <c r="B43" s="297" t="s">
        <v>1183</v>
      </c>
      <c r="C43" s="265" t="s">
        <v>987</v>
      </c>
      <c r="D43" s="151" t="s">
        <v>988</v>
      </c>
      <c r="E43" s="658" t="s">
        <v>989</v>
      </c>
      <c r="F43" s="658"/>
      <c r="G43" s="658"/>
      <c r="H43" s="658"/>
      <c r="I43" s="659" t="s">
        <v>970</v>
      </c>
      <c r="J43" s="659"/>
      <c r="K43" s="660" t="s">
        <v>971</v>
      </c>
      <c r="L43" s="660"/>
      <c r="M43" s="692" t="s">
        <v>957</v>
      </c>
      <c r="N43" s="693"/>
      <c r="P43" s="290" t="s">
        <v>1110</v>
      </c>
      <c r="Q43" s="20" t="s">
        <v>1091</v>
      </c>
      <c r="R43" s="20" t="s">
        <v>995</v>
      </c>
      <c r="S43" s="291">
        <v>69.900000000000006</v>
      </c>
      <c r="U43" s="201"/>
      <c r="V43" s="31"/>
      <c r="W43" s="31"/>
      <c r="X43" s="208"/>
      <c r="Y43" s="208"/>
      <c r="Z43" s="209"/>
    </row>
    <row r="44" spans="2:26" x14ac:dyDescent="0.25">
      <c r="B44" s="297" t="s">
        <v>1182</v>
      </c>
      <c r="C44" s="265" t="s">
        <v>960</v>
      </c>
      <c r="D44" s="151" t="s">
        <v>1244</v>
      </c>
      <c r="E44" s="658" t="s">
        <v>963</v>
      </c>
      <c r="F44" s="658"/>
      <c r="G44" s="658"/>
      <c r="H44" s="658"/>
      <c r="I44" s="659"/>
      <c r="J44" s="659"/>
      <c r="K44" s="660" t="s">
        <v>1012</v>
      </c>
      <c r="L44" s="660"/>
      <c r="M44" s="661" t="s">
        <v>952</v>
      </c>
      <c r="N44" s="662"/>
      <c r="P44" s="290" t="s">
        <v>1028</v>
      </c>
      <c r="Q44" s="20" t="s">
        <v>943</v>
      </c>
      <c r="R44" s="20" t="s">
        <v>958</v>
      </c>
      <c r="S44" s="291">
        <v>69.5</v>
      </c>
      <c r="V44" s="175"/>
      <c r="W44" s="175"/>
      <c r="X44" s="205"/>
      <c r="Y44" s="205"/>
      <c r="Z44" s="205"/>
    </row>
    <row r="45" spans="2:26" x14ac:dyDescent="0.25">
      <c r="B45" s="298" t="s">
        <v>882</v>
      </c>
      <c r="C45" s="264" t="s">
        <v>820</v>
      </c>
      <c r="D45" s="235" t="s">
        <v>990</v>
      </c>
      <c r="E45" s="703" t="s">
        <v>991</v>
      </c>
      <c r="F45" s="703"/>
      <c r="G45" s="703"/>
      <c r="H45" s="703"/>
      <c r="I45" s="704" t="s">
        <v>992</v>
      </c>
      <c r="J45" s="704"/>
      <c r="K45" s="705" t="s">
        <v>1012</v>
      </c>
      <c r="L45" s="705"/>
      <c r="M45" s="703" t="s">
        <v>1263</v>
      </c>
      <c r="N45" s="706"/>
      <c r="P45" s="290" t="s">
        <v>1077</v>
      </c>
      <c r="Q45" s="20" t="s">
        <v>979</v>
      </c>
      <c r="R45" s="20" t="s">
        <v>983</v>
      </c>
      <c r="S45" s="291">
        <v>69.400000000000006</v>
      </c>
      <c r="U45" s="175" t="s">
        <v>1185</v>
      </c>
      <c r="V45" s="205"/>
      <c r="W45" s="205"/>
      <c r="X45" s="205"/>
      <c r="Y45" s="205"/>
      <c r="Z45" s="205"/>
    </row>
    <row r="46" spans="2:26" x14ac:dyDescent="0.25">
      <c r="B46" s="297" t="s">
        <v>882</v>
      </c>
      <c r="C46" s="265" t="s">
        <v>820</v>
      </c>
      <c r="D46" s="151" t="s">
        <v>993</v>
      </c>
      <c r="E46" s="698" t="s">
        <v>945</v>
      </c>
      <c r="F46" s="699"/>
      <c r="G46" s="699"/>
      <c r="H46" s="700"/>
      <c r="I46" s="694" t="s">
        <v>994</v>
      </c>
      <c r="J46" s="695"/>
      <c r="K46" s="696" t="s">
        <v>428</v>
      </c>
      <c r="L46" s="697"/>
      <c r="M46" s="701" t="s">
        <v>957</v>
      </c>
      <c r="N46" s="702"/>
      <c r="P46" s="290" t="s">
        <v>1097</v>
      </c>
      <c r="Q46" s="20" t="s">
        <v>1091</v>
      </c>
      <c r="R46" s="20" t="s">
        <v>998</v>
      </c>
      <c r="S46" s="291">
        <v>67.099999999999994</v>
      </c>
      <c r="U46" s="176" t="s">
        <v>920</v>
      </c>
      <c r="V46" s="205"/>
      <c r="W46" s="205"/>
      <c r="X46" s="205"/>
      <c r="Y46" s="205"/>
      <c r="Z46" s="205"/>
    </row>
    <row r="47" spans="2:26" x14ac:dyDescent="0.25">
      <c r="B47" s="297" t="s">
        <v>882</v>
      </c>
      <c r="C47" s="265" t="s">
        <v>820</v>
      </c>
      <c r="D47" s="151" t="s">
        <v>995</v>
      </c>
      <c r="E47" s="698" t="s">
        <v>954</v>
      </c>
      <c r="F47" s="699"/>
      <c r="G47" s="699"/>
      <c r="H47" s="700"/>
      <c r="I47" s="694" t="s">
        <v>996</v>
      </c>
      <c r="J47" s="695"/>
      <c r="K47" s="696" t="s">
        <v>997</v>
      </c>
      <c r="L47" s="697"/>
      <c r="M47" s="701" t="s">
        <v>957</v>
      </c>
      <c r="N47" s="702"/>
      <c r="P47" s="290" t="s">
        <v>1107</v>
      </c>
      <c r="Q47" s="20" t="s">
        <v>1091</v>
      </c>
      <c r="R47" s="20" t="s">
        <v>998</v>
      </c>
      <c r="S47" s="291">
        <v>67.099999999999994</v>
      </c>
      <c r="U47" s="176" t="s">
        <v>922</v>
      </c>
      <c r="V47" s="205"/>
      <c r="W47" s="205"/>
      <c r="X47" s="205"/>
      <c r="Y47" s="205"/>
      <c r="Z47" s="205"/>
    </row>
    <row r="48" spans="2:26" x14ac:dyDescent="0.25">
      <c r="B48" s="297" t="s">
        <v>882</v>
      </c>
      <c r="C48" s="265" t="s">
        <v>820</v>
      </c>
      <c r="D48" s="151" t="s">
        <v>998</v>
      </c>
      <c r="E48" s="698" t="s">
        <v>954</v>
      </c>
      <c r="F48" s="699"/>
      <c r="G48" s="699"/>
      <c r="H48" s="700"/>
      <c r="I48" s="694" t="s">
        <v>999</v>
      </c>
      <c r="J48" s="695"/>
      <c r="K48" s="696" t="s">
        <v>1000</v>
      </c>
      <c r="L48" s="697"/>
      <c r="M48" s="701" t="s">
        <v>957</v>
      </c>
      <c r="N48" s="702"/>
      <c r="P48" s="290" t="s">
        <v>1095</v>
      </c>
      <c r="Q48" s="20" t="s">
        <v>1091</v>
      </c>
      <c r="R48" s="20" t="s">
        <v>998</v>
      </c>
      <c r="S48" s="291">
        <v>64.099999999999994</v>
      </c>
      <c r="U48" s="176" t="s">
        <v>1249</v>
      </c>
      <c r="V48" s="205"/>
      <c r="W48" s="205"/>
      <c r="X48" s="205"/>
      <c r="Y48" s="205"/>
      <c r="Z48" s="205"/>
    </row>
    <row r="49" spans="2:26" x14ac:dyDescent="0.25">
      <c r="B49" s="297" t="s">
        <v>882</v>
      </c>
      <c r="C49" s="265" t="s">
        <v>820</v>
      </c>
      <c r="D49" s="151" t="s">
        <v>1001</v>
      </c>
      <c r="E49" s="698" t="s">
        <v>954</v>
      </c>
      <c r="F49" s="699"/>
      <c r="G49" s="699"/>
      <c r="H49" s="700"/>
      <c r="I49" s="694" t="s">
        <v>981</v>
      </c>
      <c r="J49" s="695"/>
      <c r="K49" s="696" t="s">
        <v>950</v>
      </c>
      <c r="L49" s="697"/>
      <c r="M49" s="701" t="s">
        <v>957</v>
      </c>
      <c r="N49" s="702"/>
      <c r="P49" s="290" t="s">
        <v>1092</v>
      </c>
      <c r="Q49" s="20" t="s">
        <v>1091</v>
      </c>
      <c r="R49" s="20" t="s">
        <v>995</v>
      </c>
      <c r="S49" s="291">
        <v>60</v>
      </c>
      <c r="U49" s="176" t="s">
        <v>919</v>
      </c>
      <c r="V49" s="205"/>
      <c r="W49" s="205"/>
      <c r="X49" s="205"/>
      <c r="Y49" s="205"/>
      <c r="Z49" s="205"/>
    </row>
    <row r="50" spans="2:26" x14ac:dyDescent="0.25">
      <c r="B50" s="297" t="s">
        <v>882</v>
      </c>
      <c r="C50" s="265" t="s">
        <v>960</v>
      </c>
      <c r="D50" s="151" t="s">
        <v>1002</v>
      </c>
      <c r="E50" s="698" t="s">
        <v>969</v>
      </c>
      <c r="F50" s="699"/>
      <c r="G50" s="699"/>
      <c r="H50" s="700"/>
      <c r="I50" s="694" t="s">
        <v>1003</v>
      </c>
      <c r="J50" s="695"/>
      <c r="K50" s="696" t="s">
        <v>1004</v>
      </c>
      <c r="L50" s="697"/>
      <c r="M50" s="701" t="s">
        <v>957</v>
      </c>
      <c r="N50" s="702"/>
      <c r="P50" s="290" t="s">
        <v>1015</v>
      </c>
      <c r="Q50" s="20" t="s">
        <v>943</v>
      </c>
      <c r="R50" s="20" t="s">
        <v>948</v>
      </c>
      <c r="S50" s="291">
        <v>51.7</v>
      </c>
      <c r="U50" s="176"/>
      <c r="V50" s="205"/>
      <c r="W50" s="205"/>
      <c r="X50" s="142"/>
      <c r="Y50" s="142"/>
      <c r="Z50" s="142"/>
    </row>
    <row r="51" spans="2:26" x14ac:dyDescent="0.25">
      <c r="B51" s="297" t="s">
        <v>882</v>
      </c>
      <c r="C51" s="265" t="s">
        <v>960</v>
      </c>
      <c r="D51" s="151" t="s">
        <v>1005</v>
      </c>
      <c r="E51" s="698" t="s">
        <v>963</v>
      </c>
      <c r="F51" s="699"/>
      <c r="G51" s="699"/>
      <c r="H51" s="700"/>
      <c r="I51" s="694" t="s">
        <v>1006</v>
      </c>
      <c r="J51" s="695"/>
      <c r="K51" s="696" t="s">
        <v>1007</v>
      </c>
      <c r="L51" s="697"/>
      <c r="M51" s="736" t="s">
        <v>952</v>
      </c>
      <c r="N51" s="737"/>
      <c r="P51" s="290" t="s">
        <v>1083</v>
      </c>
      <c r="Q51" s="20" t="s">
        <v>979</v>
      </c>
      <c r="R51" s="20" t="s">
        <v>982</v>
      </c>
      <c r="S51" s="291">
        <v>49.6</v>
      </c>
    </row>
    <row r="52" spans="2:26" ht="18.75" x14ac:dyDescent="0.25">
      <c r="B52" s="297" t="s">
        <v>882</v>
      </c>
      <c r="C52" s="265" t="s">
        <v>972</v>
      </c>
      <c r="D52" s="151" t="s">
        <v>1008</v>
      </c>
      <c r="E52" s="698" t="s">
        <v>1009</v>
      </c>
      <c r="F52" s="699"/>
      <c r="G52" s="699"/>
      <c r="H52" s="700"/>
      <c r="I52" s="694"/>
      <c r="J52" s="695"/>
      <c r="K52" s="696" t="s">
        <v>1012</v>
      </c>
      <c r="L52" s="697"/>
      <c r="M52" s="701" t="s">
        <v>957</v>
      </c>
      <c r="N52" s="702"/>
      <c r="P52" s="290" t="s">
        <v>1070</v>
      </c>
      <c r="Q52" s="20" t="s">
        <v>979</v>
      </c>
      <c r="R52" s="20" t="s">
        <v>983</v>
      </c>
      <c r="S52" s="291">
        <v>47.4</v>
      </c>
      <c r="U52" s="678" t="s">
        <v>882</v>
      </c>
      <c r="V52" s="679"/>
      <c r="W52" s="679"/>
      <c r="X52" s="679"/>
      <c r="Y52" s="679"/>
      <c r="Z52" s="680"/>
    </row>
    <row r="53" spans="2:26" x14ac:dyDescent="0.25">
      <c r="B53" s="297" t="s">
        <v>1010</v>
      </c>
      <c r="C53" s="265" t="s">
        <v>960</v>
      </c>
      <c r="D53" s="151" t="s">
        <v>1011</v>
      </c>
      <c r="E53" s="698" t="s">
        <v>969</v>
      </c>
      <c r="F53" s="699"/>
      <c r="G53" s="699"/>
      <c r="H53" s="700"/>
      <c r="I53" s="694" t="s">
        <v>981</v>
      </c>
      <c r="J53" s="695"/>
      <c r="K53" s="696" t="s">
        <v>950</v>
      </c>
      <c r="L53" s="697"/>
      <c r="M53" s="734" t="s">
        <v>957</v>
      </c>
      <c r="N53" s="735"/>
      <c r="P53" s="290" t="s">
        <v>1106</v>
      </c>
      <c r="Q53" s="20" t="s">
        <v>1091</v>
      </c>
      <c r="R53" s="20" t="s">
        <v>998</v>
      </c>
      <c r="S53" s="291">
        <v>46.4</v>
      </c>
      <c r="U53" s="667" t="s">
        <v>885</v>
      </c>
      <c r="V53" s="668"/>
      <c r="W53" s="668"/>
      <c r="X53" s="668"/>
      <c r="Y53" s="668"/>
      <c r="Z53" s="669"/>
    </row>
    <row r="54" spans="2:26" x14ac:dyDescent="0.25">
      <c r="B54" s="299" t="s">
        <v>882</v>
      </c>
      <c r="C54" s="300" t="s">
        <v>1264</v>
      </c>
      <c r="D54" s="301" t="s">
        <v>990</v>
      </c>
      <c r="E54" s="725" t="s">
        <v>1265</v>
      </c>
      <c r="F54" s="726"/>
      <c r="G54" s="726"/>
      <c r="H54" s="727"/>
      <c r="I54" s="728" t="s">
        <v>1266</v>
      </c>
      <c r="J54" s="729"/>
      <c r="K54" s="730" t="s">
        <v>1012</v>
      </c>
      <c r="L54" s="731"/>
      <c r="M54" s="732" t="s">
        <v>952</v>
      </c>
      <c r="N54" s="733"/>
      <c r="P54" s="290" t="s">
        <v>1109</v>
      </c>
      <c r="Q54" s="20" t="s">
        <v>1091</v>
      </c>
      <c r="R54" s="20" t="s">
        <v>998</v>
      </c>
      <c r="S54" s="291">
        <v>46.2</v>
      </c>
      <c r="U54" s="664" t="s">
        <v>886</v>
      </c>
      <c r="V54" s="665"/>
      <c r="W54" s="665"/>
      <c r="X54" s="665"/>
      <c r="Y54" s="665"/>
      <c r="Z54" s="666"/>
    </row>
    <row r="55" spans="2:26" x14ac:dyDescent="0.25">
      <c r="B55" s="200"/>
      <c r="P55" s="290" t="s">
        <v>1262</v>
      </c>
      <c r="Q55" s="20" t="s">
        <v>1091</v>
      </c>
      <c r="R55" s="20" t="s">
        <v>1001</v>
      </c>
      <c r="S55" s="291">
        <v>43.5</v>
      </c>
      <c r="U55" s="649" t="s">
        <v>888</v>
      </c>
      <c r="V55" s="663"/>
      <c r="W55" s="663"/>
      <c r="X55" s="663"/>
      <c r="Y55" s="663"/>
      <c r="Z55" s="650"/>
    </row>
    <row r="56" spans="2:26" x14ac:dyDescent="0.25">
      <c r="P56" s="290" t="s">
        <v>1188</v>
      </c>
      <c r="Q56" s="20" t="s">
        <v>943</v>
      </c>
      <c r="R56" s="20" t="s">
        <v>948</v>
      </c>
      <c r="S56" s="291">
        <v>41.9</v>
      </c>
      <c r="U56" s="664" t="s">
        <v>890</v>
      </c>
      <c r="V56" s="665"/>
      <c r="W56" s="665"/>
      <c r="X56" s="665"/>
      <c r="Y56" s="665"/>
      <c r="Z56" s="666"/>
    </row>
    <row r="57" spans="2:26" ht="18.75" x14ac:dyDescent="0.3">
      <c r="B57" s="722" t="s">
        <v>1307</v>
      </c>
      <c r="C57" s="723"/>
      <c r="D57" s="723"/>
      <c r="E57" s="723"/>
      <c r="F57" s="723"/>
      <c r="G57" s="723"/>
      <c r="H57" s="723"/>
      <c r="I57" s="723"/>
      <c r="J57" s="723"/>
      <c r="K57" s="723"/>
      <c r="L57" s="723"/>
      <c r="M57" s="723"/>
      <c r="N57" s="724"/>
      <c r="P57" s="290" t="s">
        <v>1068</v>
      </c>
      <c r="Q57" s="20" t="s">
        <v>1091</v>
      </c>
      <c r="R57" s="20" t="s">
        <v>998</v>
      </c>
      <c r="S57" s="291">
        <v>41.9</v>
      </c>
      <c r="U57" s="649" t="s">
        <v>893</v>
      </c>
      <c r="V57" s="663"/>
      <c r="W57" s="663"/>
      <c r="X57" s="663"/>
      <c r="Y57" s="663"/>
      <c r="Z57" s="650"/>
    </row>
    <row r="58" spans="2:26" x14ac:dyDescent="0.25">
      <c r="B58" s="309"/>
      <c r="C58" s="191" t="s">
        <v>510</v>
      </c>
      <c r="D58" s="191" t="s">
        <v>511</v>
      </c>
      <c r="E58" s="191" t="s">
        <v>512</v>
      </c>
      <c r="F58" s="191" t="s">
        <v>513</v>
      </c>
      <c r="G58" s="191" t="s">
        <v>514</v>
      </c>
      <c r="H58" s="191" t="s">
        <v>515</v>
      </c>
      <c r="I58" s="191" t="s">
        <v>516</v>
      </c>
      <c r="J58" s="191" t="s">
        <v>517</v>
      </c>
      <c r="K58" s="191" t="s">
        <v>518</v>
      </c>
      <c r="L58" s="191" t="s">
        <v>519</v>
      </c>
      <c r="M58" s="191" t="s">
        <v>520</v>
      </c>
      <c r="N58" s="310" t="s">
        <v>521</v>
      </c>
      <c r="P58" s="290" t="s">
        <v>1089</v>
      </c>
      <c r="Q58" s="20" t="s">
        <v>979</v>
      </c>
      <c r="R58" s="20" t="s">
        <v>983</v>
      </c>
      <c r="S58" s="291">
        <v>41.4</v>
      </c>
      <c r="U58" s="664" t="s">
        <v>894</v>
      </c>
      <c r="V58" s="666"/>
      <c r="W58" s="664" t="s">
        <v>895</v>
      </c>
      <c r="X58" s="666"/>
      <c r="Y58" s="664" t="s">
        <v>896</v>
      </c>
      <c r="Z58" s="666"/>
    </row>
    <row r="59" spans="2:26" ht="17.25" customHeight="1" x14ac:dyDescent="0.25">
      <c r="B59" s="311" t="s">
        <v>1310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312"/>
      <c r="P59" s="290" t="s">
        <v>1081</v>
      </c>
      <c r="Q59" s="20" t="s">
        <v>979</v>
      </c>
      <c r="R59" s="20" t="s">
        <v>983</v>
      </c>
      <c r="S59" s="291">
        <v>37.9</v>
      </c>
      <c r="U59" s="672" t="s">
        <v>1125</v>
      </c>
      <c r="V59" s="622"/>
      <c r="W59" s="672" t="s">
        <v>1126</v>
      </c>
      <c r="X59" s="622"/>
      <c r="Y59" s="672" t="s">
        <v>1127</v>
      </c>
      <c r="Z59" s="622"/>
    </row>
    <row r="60" spans="2:26" ht="33.75" customHeight="1" x14ac:dyDescent="0.25">
      <c r="B60" s="313" t="s">
        <v>1311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312"/>
      <c r="P60" s="290" t="s">
        <v>1115</v>
      </c>
      <c r="Q60" s="20" t="s">
        <v>1091</v>
      </c>
      <c r="R60" s="20" t="s">
        <v>1001</v>
      </c>
      <c r="S60" s="291">
        <v>34.5</v>
      </c>
      <c r="U60" s="261"/>
      <c r="V60" s="262"/>
      <c r="W60" s="261"/>
      <c r="X60" s="262"/>
      <c r="Y60" s="261"/>
      <c r="Z60" s="262"/>
    </row>
    <row r="61" spans="2:26" x14ac:dyDescent="0.25">
      <c r="B61" s="314" t="s">
        <v>1309</v>
      </c>
      <c r="C61" s="630" t="s">
        <v>1308</v>
      </c>
      <c r="D61" s="631"/>
      <c r="E61" s="631"/>
      <c r="F61" s="631"/>
      <c r="G61" s="631"/>
      <c r="H61" s="631"/>
      <c r="I61" s="631"/>
      <c r="J61" s="631"/>
      <c r="K61" s="631"/>
      <c r="L61" s="631"/>
      <c r="M61" s="631"/>
      <c r="N61" s="632"/>
      <c r="P61" s="290" t="s">
        <v>1093</v>
      </c>
      <c r="Q61" s="20" t="s">
        <v>1091</v>
      </c>
      <c r="R61" s="20" t="s">
        <v>998</v>
      </c>
      <c r="S61" s="291">
        <v>33.6</v>
      </c>
      <c r="U61" s="649" t="s">
        <v>903</v>
      </c>
      <c r="V61" s="650"/>
      <c r="W61" s="649" t="s">
        <v>903</v>
      </c>
      <c r="X61" s="650"/>
      <c r="Y61" s="649" t="s">
        <v>903</v>
      </c>
      <c r="Z61" s="650"/>
    </row>
    <row r="62" spans="2:26" x14ac:dyDescent="0.25">
      <c r="P62" s="290" t="s">
        <v>1111</v>
      </c>
      <c r="Q62" s="20" t="s">
        <v>1091</v>
      </c>
      <c r="R62" s="20" t="s">
        <v>998</v>
      </c>
      <c r="S62" s="291">
        <v>33.6</v>
      </c>
      <c r="U62" s="664" t="s">
        <v>904</v>
      </c>
      <c r="V62" s="665"/>
      <c r="W62" s="665"/>
      <c r="X62" s="665"/>
      <c r="Y62" s="665"/>
      <c r="Z62" s="666"/>
    </row>
    <row r="63" spans="2:26" ht="18.75" x14ac:dyDescent="0.3">
      <c r="B63" s="236"/>
      <c r="C63" s="237" t="s">
        <v>588</v>
      </c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9"/>
      <c r="P63" s="290" t="s">
        <v>1090</v>
      </c>
      <c r="Q63" s="20" t="s">
        <v>1091</v>
      </c>
      <c r="R63" s="20" t="s">
        <v>1001</v>
      </c>
      <c r="S63" s="291">
        <v>32.6</v>
      </c>
      <c r="U63" s="649" t="s">
        <v>907</v>
      </c>
      <c r="V63" s="663"/>
      <c r="W63" s="663"/>
      <c r="X63" s="663"/>
      <c r="Y63" s="663"/>
      <c r="Z63" s="650"/>
    </row>
    <row r="64" spans="2:26" x14ac:dyDescent="0.25">
      <c r="B64" s="240"/>
      <c r="C64" s="191" t="s">
        <v>510</v>
      </c>
      <c r="D64" s="191" t="s">
        <v>511</v>
      </c>
      <c r="E64" s="191" t="s">
        <v>512</v>
      </c>
      <c r="F64" s="191" t="s">
        <v>513</v>
      </c>
      <c r="G64" s="191" t="s">
        <v>514</v>
      </c>
      <c r="H64" s="191" t="s">
        <v>515</v>
      </c>
      <c r="I64" s="191" t="s">
        <v>516</v>
      </c>
      <c r="J64" s="191" t="s">
        <v>517</v>
      </c>
      <c r="K64" s="191" t="s">
        <v>518</v>
      </c>
      <c r="L64" s="191" t="s">
        <v>519</v>
      </c>
      <c r="M64" s="191" t="s">
        <v>520</v>
      </c>
      <c r="N64" s="241" t="s">
        <v>521</v>
      </c>
      <c r="P64" s="290" t="s">
        <v>1065</v>
      </c>
      <c r="Q64" s="20" t="s">
        <v>943</v>
      </c>
      <c r="R64" s="20" t="s">
        <v>948</v>
      </c>
      <c r="S64" s="291">
        <v>32.5</v>
      </c>
      <c r="U64" s="664" t="s">
        <v>908</v>
      </c>
      <c r="V64" s="666"/>
      <c r="W64" s="673"/>
      <c r="X64" s="673"/>
      <c r="Y64" s="63"/>
      <c r="Z64" s="210"/>
    </row>
    <row r="65" spans="2:26" x14ac:dyDescent="0.25">
      <c r="B65" s="242" t="s">
        <v>1227</v>
      </c>
      <c r="C65" s="97"/>
      <c r="D65" s="97"/>
      <c r="E65" s="97"/>
      <c r="F65" s="97"/>
      <c r="G65" s="96"/>
      <c r="H65" s="107" t="s">
        <v>619</v>
      </c>
      <c r="I65" s="107" t="s">
        <v>619</v>
      </c>
      <c r="J65" s="113" t="s">
        <v>620</v>
      </c>
      <c r="K65" s="113" t="s">
        <v>620</v>
      </c>
      <c r="L65" s="113" t="s">
        <v>620</v>
      </c>
      <c r="M65" s="113" t="s">
        <v>620</v>
      </c>
      <c r="N65" s="243" t="s">
        <v>620</v>
      </c>
      <c r="P65" s="290" t="s">
        <v>1046</v>
      </c>
      <c r="Q65" s="20" t="s">
        <v>943</v>
      </c>
      <c r="R65" s="20" t="s">
        <v>948</v>
      </c>
      <c r="S65" s="291">
        <v>32</v>
      </c>
      <c r="U65" s="672" t="s">
        <v>1005</v>
      </c>
      <c r="V65" s="622"/>
      <c r="W65" s="610"/>
      <c r="X65" s="610"/>
      <c r="Y65" s="54"/>
      <c r="Z65" s="62"/>
    </row>
    <row r="66" spans="2:26" x14ac:dyDescent="0.25">
      <c r="B66" s="242" t="s">
        <v>1193</v>
      </c>
      <c r="C66" s="97"/>
      <c r="D66" s="97"/>
      <c r="E66" s="97"/>
      <c r="F66" s="97"/>
      <c r="G66" s="96"/>
      <c r="H66" s="97"/>
      <c r="I66" s="97"/>
      <c r="J66" s="107" t="s">
        <v>619</v>
      </c>
      <c r="K66" s="107" t="s">
        <v>619</v>
      </c>
      <c r="L66" s="107" t="s">
        <v>619</v>
      </c>
      <c r="M66" s="113" t="s">
        <v>620</v>
      </c>
      <c r="N66" s="244" t="s">
        <v>620</v>
      </c>
      <c r="P66" s="290" t="s">
        <v>1016</v>
      </c>
      <c r="Q66" s="20" t="s">
        <v>943</v>
      </c>
      <c r="R66" s="20" t="s">
        <v>948</v>
      </c>
      <c r="S66" s="291">
        <v>31.8</v>
      </c>
      <c r="U66" s="672" t="s">
        <v>903</v>
      </c>
      <c r="V66" s="622"/>
      <c r="W66" s="610"/>
      <c r="X66" s="610"/>
      <c r="Y66" s="54"/>
      <c r="Z66" s="62"/>
    </row>
    <row r="67" spans="2:26" x14ac:dyDescent="0.25">
      <c r="B67" s="242" t="s">
        <v>1194</v>
      </c>
      <c r="C67" s="97"/>
      <c r="D67" s="97"/>
      <c r="E67" s="97"/>
      <c r="F67" s="97"/>
      <c r="G67" s="96"/>
      <c r="H67" s="97"/>
      <c r="I67" s="97"/>
      <c r="J67" s="107" t="s">
        <v>619</v>
      </c>
      <c r="K67" s="107" t="s">
        <v>619</v>
      </c>
      <c r="L67" s="107" t="s">
        <v>619</v>
      </c>
      <c r="M67" s="107" t="s">
        <v>619</v>
      </c>
      <c r="N67" s="244" t="s">
        <v>620</v>
      </c>
      <c r="P67" s="290" t="s">
        <v>1084</v>
      </c>
      <c r="Q67" s="20" t="s">
        <v>979</v>
      </c>
      <c r="R67" s="20" t="s">
        <v>982</v>
      </c>
      <c r="S67" s="291">
        <v>30.2</v>
      </c>
      <c r="U67" s="651" t="s">
        <v>914</v>
      </c>
      <c r="V67" s="652"/>
      <c r="W67" s="177"/>
      <c r="X67" s="177"/>
      <c r="Y67" s="177"/>
      <c r="Z67" s="207"/>
    </row>
    <row r="68" spans="2:26" x14ac:dyDescent="0.25">
      <c r="B68" s="242" t="s">
        <v>1195</v>
      </c>
      <c r="C68" s="97"/>
      <c r="D68" s="97"/>
      <c r="E68" s="97"/>
      <c r="F68" s="97"/>
      <c r="G68" s="96"/>
      <c r="H68" s="97"/>
      <c r="I68" s="97"/>
      <c r="J68" s="212"/>
      <c r="K68" s="212"/>
      <c r="L68" s="213"/>
      <c r="M68" s="107" t="s">
        <v>619</v>
      </c>
      <c r="N68" s="245" t="s">
        <v>619</v>
      </c>
      <c r="P68" s="290" t="s">
        <v>1029</v>
      </c>
      <c r="Q68" s="20" t="s">
        <v>943</v>
      </c>
      <c r="R68" s="20" t="s">
        <v>948</v>
      </c>
      <c r="S68" s="291">
        <v>27.5</v>
      </c>
      <c r="U68" s="647" t="s">
        <v>917</v>
      </c>
      <c r="V68" s="648"/>
      <c r="W68" s="190"/>
      <c r="X68" s="190"/>
      <c r="Y68" s="190"/>
      <c r="Z68" s="211"/>
    </row>
    <row r="69" spans="2:26" x14ac:dyDescent="0.25">
      <c r="B69" s="242" t="s">
        <v>1330</v>
      </c>
      <c r="C69" s="97"/>
      <c r="D69" s="97"/>
      <c r="E69" s="97"/>
      <c r="F69" s="97"/>
      <c r="G69" s="96"/>
      <c r="H69" s="97"/>
      <c r="I69" s="97"/>
      <c r="J69" s="97"/>
      <c r="K69" s="20"/>
      <c r="L69" s="97"/>
      <c r="M69" s="107" t="s">
        <v>619</v>
      </c>
      <c r="N69" s="243" t="s">
        <v>620</v>
      </c>
      <c r="P69" s="290" t="s">
        <v>1032</v>
      </c>
      <c r="Q69" s="20" t="s">
        <v>943</v>
      </c>
      <c r="R69" s="20" t="s">
        <v>948</v>
      </c>
      <c r="S69" s="291">
        <v>26</v>
      </c>
      <c r="U69" s="649" t="s">
        <v>903</v>
      </c>
      <c r="V69" s="650"/>
      <c r="W69" s="190"/>
      <c r="X69" s="190"/>
      <c r="Y69" s="190"/>
      <c r="Z69" s="211"/>
    </row>
    <row r="70" spans="2:26" x14ac:dyDescent="0.25">
      <c r="B70" s="242" t="s">
        <v>1245</v>
      </c>
      <c r="C70" s="97"/>
      <c r="D70" s="97"/>
      <c r="E70" s="97"/>
      <c r="F70" s="97"/>
      <c r="G70" s="96"/>
      <c r="H70" s="97"/>
      <c r="I70" s="97"/>
      <c r="J70" s="97"/>
      <c r="K70" s="97"/>
      <c r="L70" s="96"/>
      <c r="M70" s="107" t="s">
        <v>619</v>
      </c>
      <c r="N70" s="243" t="s">
        <v>620</v>
      </c>
      <c r="P70" s="290" t="s">
        <v>1187</v>
      </c>
      <c r="Q70" s="20" t="s">
        <v>943</v>
      </c>
      <c r="R70" s="20" t="s">
        <v>948</v>
      </c>
      <c r="S70" s="291">
        <v>25.2</v>
      </c>
      <c r="U70" s="201"/>
      <c r="V70" s="208"/>
      <c r="W70" s="208"/>
      <c r="X70" s="202"/>
      <c r="Y70" s="202"/>
      <c r="Z70" s="204"/>
    </row>
    <row r="71" spans="2:26" x14ac:dyDescent="0.25">
      <c r="B71" s="242" t="s">
        <v>1331</v>
      </c>
      <c r="C71" s="97"/>
      <c r="D71" s="97"/>
      <c r="E71" s="97"/>
      <c r="F71" s="97"/>
      <c r="G71" s="96"/>
      <c r="H71" s="97"/>
      <c r="I71" s="97"/>
      <c r="J71" s="97"/>
      <c r="K71" s="97"/>
      <c r="L71" s="96"/>
      <c r="M71" s="97"/>
      <c r="N71" s="107" t="s">
        <v>619</v>
      </c>
      <c r="P71" s="290" t="s">
        <v>1038</v>
      </c>
      <c r="Q71" s="20" t="s">
        <v>943</v>
      </c>
      <c r="R71" s="20" t="s">
        <v>948</v>
      </c>
      <c r="S71" s="291">
        <v>23.9</v>
      </c>
      <c r="V71" s="54"/>
      <c r="W71" s="54"/>
      <c r="X71" s="54"/>
      <c r="Y71" s="54"/>
      <c r="Z71" s="54"/>
    </row>
    <row r="72" spans="2:26" x14ac:dyDescent="0.25">
      <c r="B72" s="246"/>
      <c r="C72" s="247"/>
      <c r="D72" s="247"/>
      <c r="E72" s="247"/>
      <c r="F72" s="247"/>
      <c r="G72" s="247"/>
      <c r="H72" s="247"/>
      <c r="I72" s="247"/>
      <c r="J72" s="247"/>
      <c r="K72" s="247"/>
      <c r="L72" s="248"/>
      <c r="M72" s="247"/>
      <c r="N72" s="249"/>
      <c r="P72" s="290" t="s">
        <v>1037</v>
      </c>
      <c r="Q72" s="20" t="s">
        <v>943</v>
      </c>
      <c r="R72" s="20" t="s">
        <v>958</v>
      </c>
      <c r="S72" s="291">
        <v>23.8</v>
      </c>
      <c r="U72" s="175" t="s">
        <v>1185</v>
      </c>
      <c r="V72" s="54"/>
      <c r="W72" s="54"/>
      <c r="X72" s="54"/>
      <c r="Y72" s="54"/>
      <c r="Z72" s="54"/>
    </row>
    <row r="73" spans="2:26" ht="16.5" customHeight="1" x14ac:dyDescent="0.25">
      <c r="P73" s="290" t="s">
        <v>1039</v>
      </c>
      <c r="Q73" s="20" t="s">
        <v>943</v>
      </c>
      <c r="R73" s="20" t="s">
        <v>948</v>
      </c>
      <c r="S73" s="291">
        <v>23.8</v>
      </c>
      <c r="U73" s="54" t="s">
        <v>921</v>
      </c>
      <c r="V73" s="54"/>
      <c r="W73" s="54"/>
      <c r="X73" s="54"/>
      <c r="Y73" s="54"/>
      <c r="Z73" s="54"/>
    </row>
    <row r="74" spans="2:26" ht="16.5" customHeight="1" x14ac:dyDescent="0.3">
      <c r="B74" s="713" t="s">
        <v>1196</v>
      </c>
      <c r="C74" s="714"/>
      <c r="D74" s="714"/>
      <c r="E74" s="714"/>
      <c r="F74" s="714"/>
      <c r="G74" s="714"/>
      <c r="H74" s="714"/>
      <c r="I74" s="714"/>
      <c r="J74" s="714"/>
      <c r="K74" s="714"/>
      <c r="L74" s="714"/>
      <c r="M74" s="714"/>
      <c r="N74" s="715"/>
      <c r="P74" s="290" t="s">
        <v>1024</v>
      </c>
      <c r="Q74" s="20" t="s">
        <v>943</v>
      </c>
      <c r="R74" s="20" t="s">
        <v>958</v>
      </c>
      <c r="S74" s="291">
        <v>23</v>
      </c>
    </row>
    <row r="75" spans="2:26" ht="16.5" customHeight="1" x14ac:dyDescent="0.25">
      <c r="B75" s="295" t="s">
        <v>815</v>
      </c>
      <c r="C75" s="716" t="s">
        <v>1197</v>
      </c>
      <c r="D75" s="717"/>
      <c r="E75" s="716" t="s">
        <v>846</v>
      </c>
      <c r="F75" s="718"/>
      <c r="G75" s="718"/>
      <c r="H75" s="717"/>
      <c r="I75" s="716" t="s">
        <v>835</v>
      </c>
      <c r="J75" s="718"/>
      <c r="K75" s="718"/>
      <c r="L75" s="718"/>
      <c r="M75" s="718"/>
      <c r="N75" s="719"/>
      <c r="P75" s="290" t="s">
        <v>1052</v>
      </c>
      <c r="Q75" s="20" t="s">
        <v>943</v>
      </c>
      <c r="R75" s="20" t="s">
        <v>948</v>
      </c>
      <c r="S75" s="291">
        <v>21.1</v>
      </c>
      <c r="U75" s="54"/>
      <c r="V75" s="54"/>
      <c r="W75" s="54"/>
      <c r="X75" s="54"/>
      <c r="Y75" s="54"/>
      <c r="Z75" s="54"/>
    </row>
    <row r="76" spans="2:26" x14ac:dyDescent="0.25">
      <c r="B76" s="302" t="s">
        <v>845</v>
      </c>
      <c r="C76" s="214">
        <v>42661</v>
      </c>
      <c r="D76" s="263" t="s">
        <v>1198</v>
      </c>
      <c r="E76" s="710" t="s">
        <v>1225</v>
      </c>
      <c r="F76" s="711"/>
      <c r="G76" s="711"/>
      <c r="H76" s="712"/>
      <c r="I76" s="742" t="s">
        <v>1199</v>
      </c>
      <c r="J76" s="743"/>
      <c r="K76" s="743"/>
      <c r="L76" s="743"/>
      <c r="M76" s="743"/>
      <c r="N76" s="744"/>
      <c r="P76" s="290" t="s">
        <v>1031</v>
      </c>
      <c r="Q76" s="20" t="s">
        <v>943</v>
      </c>
      <c r="R76" s="20" t="s">
        <v>958</v>
      </c>
      <c r="S76" s="291">
        <v>21</v>
      </c>
    </row>
    <row r="77" spans="2:26" x14ac:dyDescent="0.25">
      <c r="B77" s="302" t="s">
        <v>1222</v>
      </c>
      <c r="C77" s="214">
        <v>42676</v>
      </c>
      <c r="D77" s="263" t="s">
        <v>1223</v>
      </c>
      <c r="E77" s="710" t="s">
        <v>1224</v>
      </c>
      <c r="F77" s="711"/>
      <c r="G77" s="711"/>
      <c r="H77" s="712"/>
      <c r="I77" s="707" t="s">
        <v>1226</v>
      </c>
      <c r="J77" s="708"/>
      <c r="K77" s="708"/>
      <c r="L77" s="708"/>
      <c r="M77" s="708"/>
      <c r="N77" s="709"/>
      <c r="P77" s="290" t="s">
        <v>1049</v>
      </c>
      <c r="Q77" s="20" t="s">
        <v>943</v>
      </c>
      <c r="R77" s="20" t="s">
        <v>953</v>
      </c>
      <c r="S77" s="291">
        <v>21</v>
      </c>
    </row>
    <row r="78" spans="2:26" ht="15" customHeight="1" x14ac:dyDescent="0.25">
      <c r="B78" s="302" t="s">
        <v>882</v>
      </c>
      <c r="C78" s="214">
        <v>42677</v>
      </c>
      <c r="D78" s="263" t="s">
        <v>1253</v>
      </c>
      <c r="E78" s="710" t="s">
        <v>1254</v>
      </c>
      <c r="F78" s="711"/>
      <c r="G78" s="711"/>
      <c r="H78" s="712"/>
      <c r="I78" s="707" t="s">
        <v>1255</v>
      </c>
      <c r="J78" s="708"/>
      <c r="K78" s="708"/>
      <c r="L78" s="708"/>
      <c r="M78" s="708"/>
      <c r="N78" s="709"/>
      <c r="P78" s="290" t="s">
        <v>1030</v>
      </c>
      <c r="Q78" s="20" t="s">
        <v>943</v>
      </c>
      <c r="R78" s="20" t="s">
        <v>948</v>
      </c>
      <c r="S78" s="291">
        <v>20.3</v>
      </c>
    </row>
    <row r="79" spans="2:26" ht="15" customHeight="1" x14ac:dyDescent="0.25">
      <c r="B79" s="303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304"/>
      <c r="P79" s="290" t="s">
        <v>1035</v>
      </c>
      <c r="Q79" s="20" t="s">
        <v>943</v>
      </c>
      <c r="R79" s="20" t="s">
        <v>958</v>
      </c>
      <c r="S79" s="291">
        <v>19.899999999999999</v>
      </c>
    </row>
    <row r="80" spans="2:26" ht="15" customHeight="1" x14ac:dyDescent="0.25">
      <c r="B80" s="305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304"/>
      <c r="P80" s="290" t="s">
        <v>1043</v>
      </c>
      <c r="Q80" s="20" t="s">
        <v>943</v>
      </c>
      <c r="R80" s="20" t="s">
        <v>953</v>
      </c>
      <c r="S80" s="291">
        <v>19.7</v>
      </c>
    </row>
    <row r="81" spans="2:19" x14ac:dyDescent="0.25">
      <c r="B81" s="305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304"/>
      <c r="P81" s="290" t="s">
        <v>1087</v>
      </c>
      <c r="Q81" s="20" t="s">
        <v>979</v>
      </c>
      <c r="R81" s="20" t="s">
        <v>980</v>
      </c>
      <c r="S81" s="291">
        <v>19.399999999999999</v>
      </c>
    </row>
    <row r="82" spans="2:19" x14ac:dyDescent="0.25">
      <c r="B82" s="306"/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8"/>
      <c r="P82" s="290" t="s">
        <v>1078</v>
      </c>
      <c r="Q82" s="20" t="s">
        <v>979</v>
      </c>
      <c r="R82" s="20" t="s">
        <v>982</v>
      </c>
      <c r="S82" s="291">
        <v>19</v>
      </c>
    </row>
    <row r="83" spans="2:19" x14ac:dyDescent="0.25">
      <c r="P83" s="290" t="s">
        <v>1079</v>
      </c>
      <c r="Q83" s="20" t="s">
        <v>979</v>
      </c>
      <c r="R83" s="20" t="s">
        <v>982</v>
      </c>
      <c r="S83" s="291">
        <v>19</v>
      </c>
    </row>
    <row r="84" spans="2:19" ht="18.75" x14ac:dyDescent="0.3">
      <c r="B84" s="745" t="s">
        <v>1318</v>
      </c>
      <c r="C84" s="746"/>
      <c r="D84" s="746"/>
      <c r="E84" s="746"/>
      <c r="F84" s="746"/>
      <c r="G84" s="746"/>
      <c r="H84" s="746"/>
      <c r="I84" s="746"/>
      <c r="J84" s="746"/>
      <c r="K84" s="746"/>
      <c r="L84" s="746"/>
      <c r="M84" s="746"/>
      <c r="N84" s="747"/>
      <c r="P84" s="290" t="s">
        <v>1101</v>
      </c>
      <c r="Q84" s="20" t="s">
        <v>1091</v>
      </c>
      <c r="R84" s="20" t="s">
        <v>995</v>
      </c>
      <c r="S84" s="291">
        <v>19</v>
      </c>
    </row>
    <row r="85" spans="2:19" x14ac:dyDescent="0.25">
      <c r="B85" s="315" t="s">
        <v>1315</v>
      </c>
      <c r="C85" s="645" t="s">
        <v>1312</v>
      </c>
      <c r="D85" s="645"/>
      <c r="E85" s="645"/>
      <c r="F85" s="645"/>
      <c r="G85" s="645"/>
      <c r="H85" s="645"/>
      <c r="I85" s="645"/>
      <c r="J85" s="645"/>
      <c r="K85" s="645"/>
      <c r="L85" s="645"/>
      <c r="M85" s="645"/>
      <c r="N85" s="646"/>
      <c r="P85" s="290" t="s">
        <v>1040</v>
      </c>
      <c r="Q85" s="20" t="s">
        <v>943</v>
      </c>
      <c r="R85" s="20" t="s">
        <v>948</v>
      </c>
      <c r="S85" s="291">
        <v>18.899999999999999</v>
      </c>
    </row>
    <row r="86" spans="2:19" x14ac:dyDescent="0.25">
      <c r="B86" s="315" t="s">
        <v>1314</v>
      </c>
      <c r="C86" s="645" t="s">
        <v>1313</v>
      </c>
      <c r="D86" s="645"/>
      <c r="E86" s="645"/>
      <c r="F86" s="645"/>
      <c r="G86" s="645"/>
      <c r="H86" s="645"/>
      <c r="I86" s="645"/>
      <c r="J86" s="645"/>
      <c r="K86" s="645"/>
      <c r="L86" s="645"/>
      <c r="M86" s="645"/>
      <c r="N86" s="646"/>
      <c r="P86" s="290" t="s">
        <v>1116</v>
      </c>
      <c r="Q86" s="20" t="s">
        <v>1091</v>
      </c>
      <c r="R86" s="20" t="s">
        <v>998</v>
      </c>
      <c r="S86" s="291">
        <v>18.399999999999999</v>
      </c>
    </row>
    <row r="87" spans="2:19" x14ac:dyDescent="0.25">
      <c r="B87" s="316" t="s">
        <v>1317</v>
      </c>
      <c r="C87" s="645" t="s">
        <v>1316</v>
      </c>
      <c r="D87" s="645"/>
      <c r="E87" s="645"/>
      <c r="F87" s="645"/>
      <c r="G87" s="645"/>
      <c r="H87" s="645"/>
      <c r="I87" s="645"/>
      <c r="J87" s="645"/>
      <c r="K87" s="645"/>
      <c r="L87" s="645"/>
      <c r="M87" s="645"/>
      <c r="N87" s="646"/>
      <c r="P87" s="290" t="s">
        <v>1103</v>
      </c>
      <c r="Q87" s="20" t="s">
        <v>1091</v>
      </c>
      <c r="R87" s="20" t="s">
        <v>998</v>
      </c>
      <c r="S87" s="291">
        <v>18.3</v>
      </c>
    </row>
    <row r="88" spans="2:19" x14ac:dyDescent="0.25">
      <c r="B88" s="317" t="s">
        <v>1325</v>
      </c>
      <c r="C88" s="738" t="s">
        <v>1308</v>
      </c>
      <c r="D88" s="738"/>
      <c r="E88" s="738"/>
      <c r="F88" s="738"/>
      <c r="G88" s="738"/>
      <c r="H88" s="738"/>
      <c r="I88" s="738"/>
      <c r="J88" s="738"/>
      <c r="K88" s="738"/>
      <c r="L88" s="738"/>
      <c r="M88" s="738"/>
      <c r="N88" s="739"/>
      <c r="P88" s="290" t="s">
        <v>1018</v>
      </c>
      <c r="Q88" s="20" t="s">
        <v>943</v>
      </c>
      <c r="R88" s="20" t="s">
        <v>948</v>
      </c>
      <c r="S88" s="291">
        <v>16.8</v>
      </c>
    </row>
    <row r="89" spans="2:19" x14ac:dyDescent="0.25">
      <c r="B89" s="318" t="s">
        <v>1324</v>
      </c>
      <c r="C89" s="738" t="s">
        <v>1323</v>
      </c>
      <c r="D89" s="738"/>
      <c r="E89" s="738"/>
      <c r="F89" s="738"/>
      <c r="G89" s="738"/>
      <c r="H89" s="738"/>
      <c r="I89" s="738"/>
      <c r="J89" s="738"/>
      <c r="K89" s="738"/>
      <c r="L89" s="738"/>
      <c r="M89" s="738"/>
      <c r="N89" s="739"/>
      <c r="P89" s="290" t="s">
        <v>1026</v>
      </c>
      <c r="Q89" s="20" t="s">
        <v>943</v>
      </c>
      <c r="R89" s="20" t="s">
        <v>948</v>
      </c>
      <c r="S89" s="291">
        <v>16.8</v>
      </c>
    </row>
    <row r="90" spans="2:19" x14ac:dyDescent="0.25">
      <c r="B90" s="318" t="s">
        <v>1319</v>
      </c>
      <c r="C90" s="738" t="s">
        <v>1320</v>
      </c>
      <c r="D90" s="738"/>
      <c r="E90" s="738"/>
      <c r="F90" s="738"/>
      <c r="G90" s="738"/>
      <c r="H90" s="738"/>
      <c r="I90" s="738"/>
      <c r="J90" s="738"/>
      <c r="K90" s="738"/>
      <c r="L90" s="738"/>
      <c r="M90" s="738"/>
      <c r="N90" s="739"/>
      <c r="P90" s="290" t="s">
        <v>1189</v>
      </c>
      <c r="Q90" s="20" t="s">
        <v>943</v>
      </c>
      <c r="R90" s="20" t="s">
        <v>948</v>
      </c>
      <c r="S90" s="291">
        <v>16.8</v>
      </c>
    </row>
    <row r="91" spans="2:19" x14ac:dyDescent="0.25">
      <c r="B91" s="318" t="s">
        <v>1321</v>
      </c>
      <c r="C91" s="738" t="s">
        <v>1322</v>
      </c>
      <c r="D91" s="738"/>
      <c r="E91" s="738"/>
      <c r="F91" s="738"/>
      <c r="G91" s="738"/>
      <c r="H91" s="738"/>
      <c r="I91" s="738"/>
      <c r="J91" s="738"/>
      <c r="K91" s="738"/>
      <c r="L91" s="738"/>
      <c r="M91" s="738"/>
      <c r="N91" s="739"/>
      <c r="P91" s="290" t="s">
        <v>1108</v>
      </c>
      <c r="Q91" s="20" t="s">
        <v>1091</v>
      </c>
      <c r="R91" s="20" t="s">
        <v>998</v>
      </c>
      <c r="S91" s="291">
        <v>16.8</v>
      </c>
    </row>
    <row r="92" spans="2:19" x14ac:dyDescent="0.25">
      <c r="B92" s="318" t="s">
        <v>1326</v>
      </c>
      <c r="C92" s="738" t="s">
        <v>1327</v>
      </c>
      <c r="D92" s="738"/>
      <c r="E92" s="738"/>
      <c r="F92" s="738"/>
      <c r="G92" s="738"/>
      <c r="H92" s="738"/>
      <c r="I92" s="738"/>
      <c r="J92" s="738"/>
      <c r="K92" s="738"/>
      <c r="L92" s="738"/>
      <c r="M92" s="738"/>
      <c r="N92" s="739"/>
      <c r="P92" s="290" t="s">
        <v>1054</v>
      </c>
      <c r="Q92" s="20" t="s">
        <v>943</v>
      </c>
      <c r="R92" s="20" t="s">
        <v>948</v>
      </c>
      <c r="S92" s="291">
        <v>16.7</v>
      </c>
    </row>
    <row r="93" spans="2:19" x14ac:dyDescent="0.25">
      <c r="B93" s="319" t="s">
        <v>1328</v>
      </c>
      <c r="C93" s="740" t="s">
        <v>1329</v>
      </c>
      <c r="D93" s="740"/>
      <c r="E93" s="740"/>
      <c r="F93" s="740"/>
      <c r="G93" s="740"/>
      <c r="H93" s="740"/>
      <c r="I93" s="740"/>
      <c r="J93" s="740"/>
      <c r="K93" s="740"/>
      <c r="L93" s="740"/>
      <c r="M93" s="740"/>
      <c r="N93" s="741"/>
      <c r="P93" s="290" t="s">
        <v>1190</v>
      </c>
      <c r="Q93" s="20" t="s">
        <v>943</v>
      </c>
      <c r="R93" s="20" t="s">
        <v>948</v>
      </c>
      <c r="S93" s="291">
        <v>16.399999999999999</v>
      </c>
    </row>
    <row r="94" spans="2:19" x14ac:dyDescent="0.25">
      <c r="P94" s="290" t="s">
        <v>1045</v>
      </c>
      <c r="Q94" s="20" t="s">
        <v>943</v>
      </c>
      <c r="R94" s="20" t="s">
        <v>958</v>
      </c>
      <c r="S94" s="291">
        <v>16.2</v>
      </c>
    </row>
    <row r="95" spans="2:19" x14ac:dyDescent="0.25">
      <c r="P95" s="290" t="s">
        <v>1050</v>
      </c>
      <c r="Q95" s="20" t="s">
        <v>943</v>
      </c>
      <c r="R95" s="20" t="s">
        <v>948</v>
      </c>
      <c r="S95" s="291">
        <v>16.2</v>
      </c>
    </row>
    <row r="96" spans="2:19" x14ac:dyDescent="0.25">
      <c r="P96" s="290" t="s">
        <v>1186</v>
      </c>
      <c r="Q96" s="20" t="s">
        <v>943</v>
      </c>
      <c r="R96" s="20" t="s">
        <v>948</v>
      </c>
      <c r="S96" s="291">
        <v>16.100000000000001</v>
      </c>
    </row>
    <row r="97" spans="16:19" x14ac:dyDescent="0.25">
      <c r="P97" s="290" t="s">
        <v>1023</v>
      </c>
      <c r="Q97" s="20" t="s">
        <v>943</v>
      </c>
      <c r="R97" s="20" t="s">
        <v>958</v>
      </c>
      <c r="S97" s="291">
        <v>16.100000000000001</v>
      </c>
    </row>
    <row r="98" spans="16:19" x14ac:dyDescent="0.25">
      <c r="P98" s="290" t="s">
        <v>1088</v>
      </c>
      <c r="Q98" s="20" t="s">
        <v>979</v>
      </c>
      <c r="R98" s="20" t="s">
        <v>980</v>
      </c>
      <c r="S98" s="291">
        <v>15.7</v>
      </c>
    </row>
    <row r="99" spans="16:19" x14ac:dyDescent="0.25">
      <c r="P99" s="290" t="s">
        <v>1114</v>
      </c>
      <c r="Q99" s="20" t="s">
        <v>1091</v>
      </c>
      <c r="R99" s="20" t="s">
        <v>1001</v>
      </c>
      <c r="S99" s="291">
        <v>14.9</v>
      </c>
    </row>
    <row r="100" spans="16:19" x14ac:dyDescent="0.25">
      <c r="P100" s="290" t="s">
        <v>1075</v>
      </c>
      <c r="Q100" s="20" t="s">
        <v>979</v>
      </c>
      <c r="R100" s="20" t="s">
        <v>983</v>
      </c>
      <c r="S100" s="291">
        <v>14.6</v>
      </c>
    </row>
    <row r="101" spans="16:19" x14ac:dyDescent="0.25">
      <c r="P101" s="290" t="s">
        <v>1036</v>
      </c>
      <c r="Q101" s="20" t="s">
        <v>943</v>
      </c>
      <c r="R101" s="20" t="s">
        <v>958</v>
      </c>
      <c r="S101" s="291">
        <v>12.4</v>
      </c>
    </row>
    <row r="102" spans="16:19" x14ac:dyDescent="0.25">
      <c r="P102" s="290" t="s">
        <v>1053</v>
      </c>
      <c r="Q102" s="20" t="s">
        <v>943</v>
      </c>
      <c r="R102" s="20" t="s">
        <v>948</v>
      </c>
      <c r="S102" s="291">
        <v>11.9</v>
      </c>
    </row>
    <row r="103" spans="16:19" x14ac:dyDescent="0.25">
      <c r="P103" s="290" t="s">
        <v>1027</v>
      </c>
      <c r="Q103" s="20" t="s">
        <v>943</v>
      </c>
      <c r="R103" s="20" t="s">
        <v>958</v>
      </c>
      <c r="S103" s="291">
        <v>11.6</v>
      </c>
    </row>
    <row r="104" spans="16:19" x14ac:dyDescent="0.25">
      <c r="P104" s="290" t="s">
        <v>1047</v>
      </c>
      <c r="Q104" s="20" t="s">
        <v>943</v>
      </c>
      <c r="R104" s="20" t="s">
        <v>953</v>
      </c>
      <c r="S104" s="291">
        <v>11.1</v>
      </c>
    </row>
    <row r="105" spans="16:19" x14ac:dyDescent="0.25">
      <c r="P105" s="290" t="s">
        <v>1096</v>
      </c>
      <c r="Q105" s="20" t="s">
        <v>1091</v>
      </c>
      <c r="R105" s="20" t="s">
        <v>998</v>
      </c>
      <c r="S105" s="291">
        <v>9.3000000000000007</v>
      </c>
    </row>
    <row r="106" spans="16:19" x14ac:dyDescent="0.25">
      <c r="P106" s="290" t="s">
        <v>1098</v>
      </c>
      <c r="Q106" s="20" t="s">
        <v>1091</v>
      </c>
      <c r="R106" s="20" t="s">
        <v>1001</v>
      </c>
      <c r="S106" s="291">
        <v>9.3000000000000007</v>
      </c>
    </row>
    <row r="107" spans="16:19" x14ac:dyDescent="0.25">
      <c r="P107" s="290" t="s">
        <v>1104</v>
      </c>
      <c r="Q107" s="20" t="s">
        <v>1091</v>
      </c>
      <c r="R107" s="20" t="s">
        <v>998</v>
      </c>
      <c r="S107" s="291">
        <v>8.4</v>
      </c>
    </row>
    <row r="108" spans="16:19" x14ac:dyDescent="0.25">
      <c r="P108" s="290" t="s">
        <v>1085</v>
      </c>
      <c r="Q108" s="20" t="s">
        <v>979</v>
      </c>
      <c r="R108" s="20" t="s">
        <v>983</v>
      </c>
      <c r="S108" s="291">
        <v>7</v>
      </c>
    </row>
    <row r="109" spans="16:19" x14ac:dyDescent="0.25">
      <c r="P109" s="290" t="s">
        <v>1067</v>
      </c>
      <c r="Q109" s="20" t="s">
        <v>979</v>
      </c>
      <c r="R109" s="20" t="s">
        <v>983</v>
      </c>
      <c r="S109" s="291">
        <v>6.7</v>
      </c>
    </row>
    <row r="110" spans="16:19" x14ac:dyDescent="0.25">
      <c r="P110" s="290" t="s">
        <v>1082</v>
      </c>
      <c r="Q110" s="20" t="s">
        <v>979</v>
      </c>
      <c r="R110" s="20" t="s">
        <v>982</v>
      </c>
      <c r="S110" s="291">
        <v>6.4</v>
      </c>
    </row>
    <row r="111" spans="16:19" x14ac:dyDescent="0.25">
      <c r="P111" s="290" t="s">
        <v>1086</v>
      </c>
      <c r="Q111" s="20" t="s">
        <v>979</v>
      </c>
      <c r="R111" s="20" t="s">
        <v>980</v>
      </c>
      <c r="S111" s="291">
        <v>5.9</v>
      </c>
    </row>
    <row r="112" spans="16:19" x14ac:dyDescent="0.25">
      <c r="P112" s="290" t="s">
        <v>1020</v>
      </c>
      <c r="Q112" s="20" t="s">
        <v>943</v>
      </c>
      <c r="R112" s="20" t="s">
        <v>948</v>
      </c>
      <c r="S112" s="291">
        <v>5.8</v>
      </c>
    </row>
    <row r="113" spans="16:19" x14ac:dyDescent="0.25">
      <c r="P113" s="290" t="s">
        <v>1306</v>
      </c>
      <c r="Q113" s="20" t="s">
        <v>1091</v>
      </c>
      <c r="R113" s="20" t="s">
        <v>1001</v>
      </c>
      <c r="S113" s="291">
        <v>5.6</v>
      </c>
    </row>
    <row r="114" spans="16:19" x14ac:dyDescent="0.25">
      <c r="P114" s="290" t="s">
        <v>1071</v>
      </c>
      <c r="Q114" s="20" t="s">
        <v>979</v>
      </c>
      <c r="R114" s="20" t="s">
        <v>980</v>
      </c>
      <c r="S114" s="291">
        <v>5.4</v>
      </c>
    </row>
    <row r="115" spans="16:19" x14ac:dyDescent="0.25">
      <c r="P115" s="290" t="s">
        <v>1100</v>
      </c>
      <c r="Q115" s="20" t="s">
        <v>1091</v>
      </c>
      <c r="R115" s="20" t="s">
        <v>995</v>
      </c>
      <c r="S115" s="291">
        <v>5.3</v>
      </c>
    </row>
    <row r="116" spans="16:19" x14ac:dyDescent="0.25">
      <c r="P116" s="290" t="s">
        <v>1018</v>
      </c>
      <c r="Q116" s="20" t="s">
        <v>1091</v>
      </c>
      <c r="R116" s="20" t="s">
        <v>995</v>
      </c>
      <c r="S116" s="291">
        <v>4.9000000000000004</v>
      </c>
    </row>
    <row r="117" spans="16:19" x14ac:dyDescent="0.25">
      <c r="P117" s="290" t="s">
        <v>1051</v>
      </c>
      <c r="Q117" s="20" t="s">
        <v>943</v>
      </c>
      <c r="R117" s="20" t="s">
        <v>953</v>
      </c>
      <c r="S117" s="291">
        <v>4.8</v>
      </c>
    </row>
    <row r="118" spans="16:19" x14ac:dyDescent="0.25">
      <c r="P118" s="290" t="s">
        <v>1021</v>
      </c>
      <c r="Q118" s="20" t="s">
        <v>943</v>
      </c>
      <c r="R118" s="20" t="s">
        <v>953</v>
      </c>
      <c r="S118" s="291">
        <v>3.3</v>
      </c>
    </row>
    <row r="119" spans="16:19" x14ac:dyDescent="0.25">
      <c r="P119" s="290" t="s">
        <v>1112</v>
      </c>
      <c r="Q119" s="20" t="s">
        <v>1091</v>
      </c>
      <c r="R119" s="20" t="s">
        <v>1001</v>
      </c>
      <c r="S119" s="291">
        <v>1.8</v>
      </c>
    </row>
    <row r="120" spans="16:19" x14ac:dyDescent="0.25">
      <c r="P120" s="290" t="s">
        <v>1113</v>
      </c>
      <c r="Q120" s="20" t="s">
        <v>1091</v>
      </c>
      <c r="R120" s="20" t="s">
        <v>1001</v>
      </c>
      <c r="S120" s="291">
        <v>1.7</v>
      </c>
    </row>
    <row r="121" spans="16:19" x14ac:dyDescent="0.25">
      <c r="P121" s="292" t="s">
        <v>1228</v>
      </c>
      <c r="Q121" s="293" t="s">
        <v>1091</v>
      </c>
      <c r="R121" s="293" t="s">
        <v>995</v>
      </c>
      <c r="S121" s="294">
        <v>1.6</v>
      </c>
    </row>
    <row r="124" spans="16:19" ht="15.75" customHeight="1" x14ac:dyDescent="0.25"/>
    <row r="125" spans="16:19" ht="15.75" customHeight="1" x14ac:dyDescent="0.25"/>
    <row r="126" spans="16:19" ht="15.75" customHeight="1" x14ac:dyDescent="0.25"/>
    <row r="127" spans="16:19" ht="15.75" customHeight="1" x14ac:dyDescent="0.25"/>
  </sheetData>
  <mergeCells count="217">
    <mergeCell ref="C91:N91"/>
    <mergeCell ref="C92:N92"/>
    <mergeCell ref="C93:N93"/>
    <mergeCell ref="I76:N76"/>
    <mergeCell ref="E76:H76"/>
    <mergeCell ref="C90:N90"/>
    <mergeCell ref="C89:N89"/>
    <mergeCell ref="C85:N85"/>
    <mergeCell ref="C86:N86"/>
    <mergeCell ref="C87:N87"/>
    <mergeCell ref="C88:N88"/>
    <mergeCell ref="B84:N84"/>
    <mergeCell ref="I77:N77"/>
    <mergeCell ref="E77:H77"/>
    <mergeCell ref="B57:N57"/>
    <mergeCell ref="C61:N61"/>
    <mergeCell ref="E54:H54"/>
    <mergeCell ref="I54:J54"/>
    <mergeCell ref="K54:L54"/>
    <mergeCell ref="M54:N54"/>
    <mergeCell ref="E49:H49"/>
    <mergeCell ref="I49:J49"/>
    <mergeCell ref="K49:L49"/>
    <mergeCell ref="M49:N49"/>
    <mergeCell ref="E53:H53"/>
    <mergeCell ref="I53:J53"/>
    <mergeCell ref="K53:L53"/>
    <mergeCell ref="M53:N53"/>
    <mergeCell ref="E50:H50"/>
    <mergeCell ref="I50:J50"/>
    <mergeCell ref="K50:L50"/>
    <mergeCell ref="M50:N50"/>
    <mergeCell ref="E51:H51"/>
    <mergeCell ref="I51:J51"/>
    <mergeCell ref="K51:L51"/>
    <mergeCell ref="M51:N51"/>
    <mergeCell ref="E52:H52"/>
    <mergeCell ref="I52:J52"/>
    <mergeCell ref="K52:L52"/>
    <mergeCell ref="M52:N52"/>
    <mergeCell ref="I78:N78"/>
    <mergeCell ref="E78:H78"/>
    <mergeCell ref="U2:Z2"/>
    <mergeCell ref="B74:N74"/>
    <mergeCell ref="C75:D75"/>
    <mergeCell ref="E75:H75"/>
    <mergeCell ref="I75:N75"/>
    <mergeCell ref="U38:V38"/>
    <mergeCell ref="Y14:Z14"/>
    <mergeCell ref="Y15:Z15"/>
    <mergeCell ref="U40:V40"/>
    <mergeCell ref="U41:V41"/>
    <mergeCell ref="U34:Z34"/>
    <mergeCell ref="U35:Z35"/>
    <mergeCell ref="U36:V36"/>
    <mergeCell ref="Y13:Z13"/>
    <mergeCell ref="U37:V37"/>
    <mergeCell ref="U32:V32"/>
    <mergeCell ref="U33:V33"/>
    <mergeCell ref="W32:X32"/>
    <mergeCell ref="U18:V18"/>
    <mergeCell ref="W18:X18"/>
    <mergeCell ref="U27:Z27"/>
    <mergeCell ref="Y32:Z32"/>
    <mergeCell ref="U28:Z28"/>
    <mergeCell ref="U42:V42"/>
    <mergeCell ref="U25:Z25"/>
    <mergeCell ref="Y8:Z8"/>
    <mergeCell ref="U9:V9"/>
    <mergeCell ref="U10:V10"/>
    <mergeCell ref="W9:X9"/>
    <mergeCell ref="W10:X10"/>
    <mergeCell ref="Y9:Z9"/>
    <mergeCell ref="Y10:Z10"/>
    <mergeCell ref="W8:X8"/>
    <mergeCell ref="U17:V17"/>
    <mergeCell ref="W17:X17"/>
    <mergeCell ref="U8:V8"/>
    <mergeCell ref="U15:V15"/>
    <mergeCell ref="W15:X15"/>
    <mergeCell ref="U16:V16"/>
    <mergeCell ref="W16:X16"/>
    <mergeCell ref="U26:Z26"/>
    <mergeCell ref="E48:H48"/>
    <mergeCell ref="I48:J48"/>
    <mergeCell ref="K48:L48"/>
    <mergeCell ref="M48:N48"/>
    <mergeCell ref="E45:H45"/>
    <mergeCell ref="I45:J45"/>
    <mergeCell ref="K45:L45"/>
    <mergeCell ref="M45:N45"/>
    <mergeCell ref="M47:N47"/>
    <mergeCell ref="K47:L47"/>
    <mergeCell ref="I47:J47"/>
    <mergeCell ref="E47:H47"/>
    <mergeCell ref="M46:N46"/>
    <mergeCell ref="K46:L46"/>
    <mergeCell ref="I46:J46"/>
    <mergeCell ref="E46:H46"/>
    <mergeCell ref="E42:H42"/>
    <mergeCell ref="I42:J42"/>
    <mergeCell ref="K42:L42"/>
    <mergeCell ref="M42:N42"/>
    <mergeCell ref="E43:H43"/>
    <mergeCell ref="I43:J43"/>
    <mergeCell ref="K43:L43"/>
    <mergeCell ref="M43:N43"/>
    <mergeCell ref="E44:H44"/>
    <mergeCell ref="I44:J44"/>
    <mergeCell ref="K44:L44"/>
    <mergeCell ref="M44:N44"/>
    <mergeCell ref="E38:H38"/>
    <mergeCell ref="I38:J38"/>
    <mergeCell ref="K38:L38"/>
    <mergeCell ref="M38:N38"/>
    <mergeCell ref="E40:H40"/>
    <mergeCell ref="I40:J40"/>
    <mergeCell ref="K40:L40"/>
    <mergeCell ref="M40:N40"/>
    <mergeCell ref="E41:H41"/>
    <mergeCell ref="I41:J41"/>
    <mergeCell ref="K41:L41"/>
    <mergeCell ref="M41:N41"/>
    <mergeCell ref="E39:H39"/>
    <mergeCell ref="I39:J39"/>
    <mergeCell ref="K39:L39"/>
    <mergeCell ref="M39:N39"/>
    <mergeCell ref="E33:H33"/>
    <mergeCell ref="I33:J33"/>
    <mergeCell ref="K33:L33"/>
    <mergeCell ref="M33:N33"/>
    <mergeCell ref="E31:H31"/>
    <mergeCell ref="I31:J31"/>
    <mergeCell ref="K31:L31"/>
    <mergeCell ref="E37:H37"/>
    <mergeCell ref="I37:J37"/>
    <mergeCell ref="K37:L37"/>
    <mergeCell ref="M37:N37"/>
    <mergeCell ref="K36:L36"/>
    <mergeCell ref="M36:N36"/>
    <mergeCell ref="U7:Z7"/>
    <mergeCell ref="U11:Z11"/>
    <mergeCell ref="U12:Z12"/>
    <mergeCell ref="U13:V13"/>
    <mergeCell ref="W13:X13"/>
    <mergeCell ref="U14:V14"/>
    <mergeCell ref="W14:X14"/>
    <mergeCell ref="B2:N2"/>
    <mergeCell ref="U52:Z52"/>
    <mergeCell ref="P2:S2"/>
    <mergeCell ref="U3:Z3"/>
    <mergeCell ref="U6:Z6"/>
    <mergeCell ref="U5:Z5"/>
    <mergeCell ref="U4:Z4"/>
    <mergeCell ref="B27:N27"/>
    <mergeCell ref="E28:H28"/>
    <mergeCell ref="I28:J28"/>
    <mergeCell ref="K28:L28"/>
    <mergeCell ref="M28:N28"/>
    <mergeCell ref="M31:N31"/>
    <mergeCell ref="E32:H32"/>
    <mergeCell ref="I32:J32"/>
    <mergeCell ref="K32:L32"/>
    <mergeCell ref="M32:N32"/>
    <mergeCell ref="U66:V66"/>
    <mergeCell ref="W66:X66"/>
    <mergeCell ref="U58:V58"/>
    <mergeCell ref="W58:X58"/>
    <mergeCell ref="Y58:Z58"/>
    <mergeCell ref="U59:V59"/>
    <mergeCell ref="Y61:Z61"/>
    <mergeCell ref="U62:Z62"/>
    <mergeCell ref="U63:Z63"/>
    <mergeCell ref="W59:X59"/>
    <mergeCell ref="Y59:Z59"/>
    <mergeCell ref="U61:V61"/>
    <mergeCell ref="W61:X61"/>
    <mergeCell ref="U65:V65"/>
    <mergeCell ref="W65:X65"/>
    <mergeCell ref="U64:V64"/>
    <mergeCell ref="W64:X64"/>
    <mergeCell ref="U53:Z53"/>
    <mergeCell ref="U56:Z56"/>
    <mergeCell ref="Y33:Z33"/>
    <mergeCell ref="U29:Z29"/>
    <mergeCell ref="U30:Z30"/>
    <mergeCell ref="U31:V31"/>
    <mergeCell ref="W31:X31"/>
    <mergeCell ref="Y31:Z31"/>
    <mergeCell ref="W40:X40"/>
    <mergeCell ref="W41:X41"/>
    <mergeCell ref="W42:X42"/>
    <mergeCell ref="W33:X33"/>
    <mergeCell ref="U68:V68"/>
    <mergeCell ref="U69:V69"/>
    <mergeCell ref="U67:V67"/>
    <mergeCell ref="E29:H29"/>
    <mergeCell ref="I29:J29"/>
    <mergeCell ref="K29:L29"/>
    <mergeCell ref="M29:N29"/>
    <mergeCell ref="E30:H30"/>
    <mergeCell ref="I30:J30"/>
    <mergeCell ref="K30:L30"/>
    <mergeCell ref="M30:N30"/>
    <mergeCell ref="E34:H34"/>
    <mergeCell ref="I34:J34"/>
    <mergeCell ref="K34:L34"/>
    <mergeCell ref="M34:N34"/>
    <mergeCell ref="E35:H35"/>
    <mergeCell ref="I35:J35"/>
    <mergeCell ref="K35:L35"/>
    <mergeCell ref="M35:N35"/>
    <mergeCell ref="E36:H36"/>
    <mergeCell ref="I36:J36"/>
    <mergeCell ref="U57:Z57"/>
    <mergeCell ref="U54:Z54"/>
    <mergeCell ref="U55:Z55"/>
  </mergeCells>
  <hyperlinks>
    <hyperlink ref="C61" r:id="rId1"/>
    <hyperlink ref="C88" r:id="rId2"/>
    <hyperlink ref="C85" r:id="rId3"/>
    <hyperlink ref="C86" r:id="rId4"/>
    <hyperlink ref="C87" r:id="rId5"/>
    <hyperlink ref="C90" r:id="rId6"/>
    <hyperlink ref="C91" r:id="rId7"/>
    <hyperlink ref="C89" r:id="rId8"/>
    <hyperlink ref="C92" r:id="rId9"/>
    <hyperlink ref="C93" r:id="rId10"/>
  </hyperlinks>
  <pageMargins left="0.7" right="0.7" top="0.78740157499999996" bottom="0.78740157499999996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-- Servis 2017 --</vt:lpstr>
      <vt:lpstr>-- Smlouvy prosinec 2017 --</vt:lpstr>
      <vt:lpstr>-- Smlouvy log --</vt:lpstr>
      <vt:lpstr>pracovni</vt:lpstr>
      <vt:lpstr>-- Servis 2016 --</vt:lpstr>
      <vt:lpstr>-- Infrastruktura 2016 --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 Nosek</dc:creator>
  <cp:lastModifiedBy>podnecka</cp:lastModifiedBy>
  <dcterms:created xsi:type="dcterms:W3CDTF">2016-01-19T11:14:03Z</dcterms:created>
  <dcterms:modified xsi:type="dcterms:W3CDTF">2018-02-16T12:54:35Z</dcterms:modified>
</cp:coreProperties>
</file>